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<sst xmlns="http://schemas.openxmlformats.org/spreadsheetml/2006/main" count="76" uniqueCount="67">
  <si>
    <t>附件2</t>
  </si>
  <si>
    <t>概算对比表</t>
  </si>
  <si>
    <t>序号</t>
  </si>
  <si>
    <t>项目名称</t>
  </si>
  <si>
    <t>送审概算（元）</t>
  </si>
  <si>
    <t>审核概算（元）</t>
  </si>
  <si>
    <t>审核增（+）减（-）（元）</t>
  </si>
  <si>
    <t>备注</t>
  </si>
  <si>
    <t>建筑工程费</t>
  </si>
  <si>
    <t>其他费用</t>
  </si>
  <si>
    <t>合计</t>
  </si>
  <si>
    <t>一</t>
  </si>
  <si>
    <t>工程费用</t>
  </si>
  <si>
    <t>龙水湖环湖步道北段建设工程A段</t>
  </si>
  <si>
    <t>土石方工程</t>
  </si>
  <si>
    <t>道路工程</t>
  </si>
  <si>
    <t>照明工程</t>
  </si>
  <si>
    <t>龙水湖环湖步道北段建设工程B段</t>
  </si>
  <si>
    <t>结构工程</t>
  </si>
  <si>
    <t>二</t>
  </si>
  <si>
    <t>工程建设其他费</t>
  </si>
  <si>
    <t>（一）</t>
  </si>
  <si>
    <t>前期工作费</t>
  </si>
  <si>
    <t>征地补偿安置费</t>
  </si>
  <si>
    <t>（二）</t>
  </si>
  <si>
    <t>项目建设有关的其他费用</t>
  </si>
  <si>
    <t>场地准备及临时设施费</t>
  </si>
  <si>
    <t>项目建设管理费</t>
  </si>
  <si>
    <t>建设管理代建费</t>
  </si>
  <si>
    <t>建设工程监理费</t>
  </si>
  <si>
    <t>招标代理服务费</t>
  </si>
  <si>
    <t>招标交易服务费</t>
  </si>
  <si>
    <t>项目可研编制费</t>
  </si>
  <si>
    <t>环境影响咨询服务费</t>
  </si>
  <si>
    <t>地质灾害评价费</t>
  </si>
  <si>
    <t>节能评估费</t>
  </si>
  <si>
    <t>风险评估费</t>
  </si>
  <si>
    <t>水土保持方案编制、审核</t>
  </si>
  <si>
    <t>工程勘察费</t>
  </si>
  <si>
    <t>工程设计费</t>
  </si>
  <si>
    <t>咨询费</t>
  </si>
  <si>
    <t>设计咨询费</t>
  </si>
  <si>
    <t>10.1.1</t>
  </si>
  <si>
    <t>勘察成果审查费</t>
  </si>
  <si>
    <t>10.1.2</t>
  </si>
  <si>
    <t>施工图审查费</t>
  </si>
  <si>
    <t>工程造价咨询费</t>
  </si>
  <si>
    <t>10.2.1</t>
  </si>
  <si>
    <t>概算审核费</t>
  </si>
  <si>
    <t>10.2.2</t>
  </si>
  <si>
    <t>工程量清单及组价编制及审核</t>
  </si>
  <si>
    <t>10.2.3</t>
  </si>
  <si>
    <t>结算审核费</t>
  </si>
  <si>
    <t>10.2.4</t>
  </si>
  <si>
    <t>财务决算费</t>
  </si>
  <si>
    <t>工程保险费</t>
  </si>
  <si>
    <t>安全生产保障费</t>
  </si>
  <si>
    <t>第三方质量检测费</t>
  </si>
  <si>
    <t>三</t>
  </si>
  <si>
    <t>预备费</t>
  </si>
  <si>
    <t>基本预备费</t>
  </si>
  <si>
    <t>四</t>
  </si>
  <si>
    <t>专项费用</t>
  </si>
  <si>
    <t>建设期贷款利息</t>
  </si>
  <si>
    <t>铺底流动资金</t>
  </si>
  <si>
    <t>五</t>
  </si>
  <si>
    <t>项目总投资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</si>
</sst>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204"/>
      <scheme val="minor"/>
    </font>
    <font>
      <sz val="11"/>
      <name val="宋体"/>
      <charset val="134"/>
    </font>
    <font>
      <sz val="10"/>
      <name val="宋体"/>
      <charset val="20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0"/>
      <color indexed="0"/>
      <name val="宋体"/>
      <charset val="134"/>
    </font>
    <font>
      <b/>
      <sz val="10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2" applyNumberFormat="0" applyAlignment="0" applyProtection="0">
      <alignment vertical="center"/>
    </xf>
    <xf numFmtId="0" fontId="31" fillId="11" borderId="8" applyNumberFormat="0" applyAlignment="0" applyProtection="0">
      <alignment vertical="center"/>
    </xf>
    <xf numFmtId="0" fontId="32" fillId="12" borderId="13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8" fillId="0" borderId="0"/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5" fillId="0" borderId="1" xfId="3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6" fontId="11" fillId="0" borderId="2" xfId="0" applyNumberFormat="1" applyFont="1" applyFill="1" applyBorder="1" applyAlignment="1">
      <alignment horizontal="center" vertical="center" wrapText="1"/>
    </xf>
    <xf numFmtId="0" fontId="1" fillId="0" borderId="1" xfId="3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176" fontId="16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0" fontId="1" fillId="0" borderId="0" xfId="0" applyNumberFormat="1" applyFont="1" applyFill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1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0" fontId="4" fillId="0" borderId="0" xfId="0" applyNumberFormat="1" applyFont="1" applyFill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0" fontId="6" fillId="0" borderId="1" xfId="1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6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合川城南片区估算5.24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workbookViewId="0">
      <selection activeCell="B9" sqref="B9"/>
    </sheetView>
  </sheetViews>
  <sheetFormatPr defaultColWidth="9" defaultRowHeight="14.25"/>
  <cols>
    <col min="1" max="1" width="7.66666666666667" style="7" customWidth="1"/>
    <col min="2" max="2" width="15.8833333333333" style="8" customWidth="1"/>
    <col min="3" max="3" width="13.5" style="9" customWidth="1"/>
    <col min="4" max="4" width="14.1333333333333" style="9" customWidth="1"/>
    <col min="5" max="5" width="13" style="9" customWidth="1"/>
    <col min="6" max="6" width="16.6666666666667" style="9" customWidth="1"/>
    <col min="7" max="7" width="14.75" style="10" customWidth="1"/>
    <col min="8" max="8" width="14.4416666666667" style="9"/>
    <col min="9" max="9" width="14.8833333333333" style="9"/>
    <col min="10" max="10" width="7.63333333333333" style="8" customWidth="1"/>
    <col min="11" max="11" width="9" style="7"/>
    <col min="12" max="12" width="9.25" style="7"/>
    <col min="13" max="13" width="11.1333333333333" style="11"/>
    <col min="14" max="16384" width="9" style="7"/>
  </cols>
  <sheetData>
    <row r="1" spans="1:1">
      <c r="A1" s="7" t="s">
        <v>0</v>
      </c>
    </row>
    <row r="2" s="1" customFormat="1" ht="39" customHeight="1" spans="1:13">
      <c r="A2" s="12" t="s">
        <v>1</v>
      </c>
      <c r="B2" s="12"/>
      <c r="C2" s="13"/>
      <c r="D2" s="13"/>
      <c r="E2" s="13"/>
      <c r="F2" s="13"/>
      <c r="G2" s="14"/>
      <c r="H2" s="13"/>
      <c r="I2" s="13"/>
      <c r="J2" s="12"/>
      <c r="M2" s="55"/>
    </row>
    <row r="3" s="2" customFormat="1" spans="1:13">
      <c r="A3" s="15" t="s">
        <v>2</v>
      </c>
      <c r="B3" s="16" t="s">
        <v>3</v>
      </c>
      <c r="C3" s="17" t="s">
        <v>4</v>
      </c>
      <c r="D3" s="17"/>
      <c r="E3" s="17"/>
      <c r="F3" s="17" t="s">
        <v>5</v>
      </c>
      <c r="G3" s="17"/>
      <c r="H3" s="17"/>
      <c r="I3" s="56" t="s">
        <v>6</v>
      </c>
      <c r="J3" s="16" t="s">
        <v>7</v>
      </c>
      <c r="M3" s="57"/>
    </row>
    <row r="4" s="3" customFormat="1" spans="1:13">
      <c r="A4" s="16"/>
      <c r="B4" s="16"/>
      <c r="C4" s="18" t="s">
        <v>8</v>
      </c>
      <c r="D4" s="18" t="s">
        <v>9</v>
      </c>
      <c r="E4" s="18" t="s">
        <v>10</v>
      </c>
      <c r="F4" s="18" t="s">
        <v>8</v>
      </c>
      <c r="G4" s="18" t="s">
        <v>9</v>
      </c>
      <c r="H4" s="18" t="s">
        <v>10</v>
      </c>
      <c r="I4" s="58"/>
      <c r="J4" s="16"/>
      <c r="M4" s="59"/>
    </row>
    <row r="5" s="4" customFormat="1" ht="25" customHeight="1" spans="1:13">
      <c r="A5" s="19" t="s">
        <v>11</v>
      </c>
      <c r="B5" s="19" t="s">
        <v>12</v>
      </c>
      <c r="C5" s="20">
        <f t="shared" ref="C5:H5" si="0">C6+C10</f>
        <v>7401215.37</v>
      </c>
      <c r="D5" s="21"/>
      <c r="E5" s="20">
        <f t="shared" si="0"/>
        <v>7401215.37</v>
      </c>
      <c r="F5" s="20">
        <f t="shared" si="0"/>
        <v>6877204.02</v>
      </c>
      <c r="G5" s="22"/>
      <c r="H5" s="20">
        <f t="shared" si="0"/>
        <v>6877204.02</v>
      </c>
      <c r="I5" s="22">
        <f t="shared" ref="I5:I14" si="1">H5-E5</f>
        <v>-524011.350000001</v>
      </c>
      <c r="J5" s="54"/>
      <c r="M5" s="60"/>
    </row>
    <row r="6" s="4" customFormat="1" ht="25" customHeight="1" spans="1:13">
      <c r="A6" s="19">
        <v>1</v>
      </c>
      <c r="B6" s="19" t="s">
        <v>13</v>
      </c>
      <c r="C6" s="22">
        <f>SUM(C7:C9)</f>
        <v>1502153.4</v>
      </c>
      <c r="D6" s="23"/>
      <c r="E6" s="23">
        <f t="shared" ref="E6:E14" si="2">C6</f>
        <v>1502153.4</v>
      </c>
      <c r="F6" s="22">
        <f>SUM(F7:F9)</f>
        <v>1567329.61</v>
      </c>
      <c r="G6" s="23"/>
      <c r="H6" s="23">
        <f t="shared" ref="H6:H14" si="3">F6</f>
        <v>1567329.61</v>
      </c>
      <c r="I6" s="22">
        <f t="shared" si="1"/>
        <v>65176.2100000002</v>
      </c>
      <c r="J6" s="54"/>
      <c r="M6" s="60"/>
    </row>
    <row r="7" s="5" customFormat="1" ht="25" customHeight="1" spans="1:13">
      <c r="A7" s="24">
        <v>1.1</v>
      </c>
      <c r="B7" s="24" t="s">
        <v>14</v>
      </c>
      <c r="C7" s="25">
        <v>43819.51</v>
      </c>
      <c r="D7" s="26"/>
      <c r="E7" s="27">
        <f t="shared" si="2"/>
        <v>43819.51</v>
      </c>
      <c r="F7" s="28">
        <v>40030.6</v>
      </c>
      <c r="G7" s="29"/>
      <c r="H7" s="27">
        <f t="shared" si="3"/>
        <v>40030.6</v>
      </c>
      <c r="I7" s="28">
        <f t="shared" si="1"/>
        <v>-3788.91</v>
      </c>
      <c r="J7" s="61"/>
      <c r="M7" s="62"/>
    </row>
    <row r="8" s="5" customFormat="1" ht="25" customHeight="1" spans="1:13">
      <c r="A8" s="30">
        <v>1.2</v>
      </c>
      <c r="B8" s="30" t="s">
        <v>15</v>
      </c>
      <c r="C8" s="25">
        <v>1315024.26</v>
      </c>
      <c r="D8" s="27"/>
      <c r="E8" s="27">
        <f t="shared" si="2"/>
        <v>1315024.26</v>
      </c>
      <c r="F8" s="28">
        <v>1392094.96</v>
      </c>
      <c r="G8" s="27"/>
      <c r="H8" s="27">
        <f t="shared" si="3"/>
        <v>1392094.96</v>
      </c>
      <c r="I8" s="28">
        <f t="shared" si="1"/>
        <v>77070.7</v>
      </c>
      <c r="J8" s="61"/>
      <c r="M8" s="62"/>
    </row>
    <row r="9" s="5" customFormat="1" ht="25" customHeight="1" spans="1:13">
      <c r="A9" s="31">
        <v>1.3</v>
      </c>
      <c r="B9" s="24" t="s">
        <v>16</v>
      </c>
      <c r="C9" s="32">
        <v>143309.63</v>
      </c>
      <c r="D9" s="26"/>
      <c r="E9" s="27">
        <f t="shared" si="2"/>
        <v>143309.63</v>
      </c>
      <c r="F9" s="28">
        <v>135204.05</v>
      </c>
      <c r="G9" s="29"/>
      <c r="H9" s="27">
        <f t="shared" si="3"/>
        <v>135204.05</v>
      </c>
      <c r="I9" s="28">
        <f t="shared" si="1"/>
        <v>-8105.58000000002</v>
      </c>
      <c r="J9" s="61"/>
      <c r="M9" s="62"/>
    </row>
    <row r="10" s="4" customFormat="1" ht="25" customHeight="1" spans="1:13">
      <c r="A10" s="33">
        <v>2</v>
      </c>
      <c r="B10" s="34" t="s">
        <v>17</v>
      </c>
      <c r="C10" s="22">
        <f>SUM(C11:C14)</f>
        <v>5899061.97</v>
      </c>
      <c r="D10" s="35"/>
      <c r="E10" s="23">
        <f t="shared" si="2"/>
        <v>5899061.97</v>
      </c>
      <c r="F10" s="22">
        <f>SUM(F11:F14)</f>
        <v>5309874.41</v>
      </c>
      <c r="G10" s="36"/>
      <c r="H10" s="23">
        <f t="shared" si="3"/>
        <v>5309874.41</v>
      </c>
      <c r="I10" s="22">
        <f t="shared" si="1"/>
        <v>-589187.560000001</v>
      </c>
      <c r="J10" s="54"/>
      <c r="M10" s="60"/>
    </row>
    <row r="11" s="5" customFormat="1" ht="25" customHeight="1" spans="1:13">
      <c r="A11" s="24">
        <v>2.1</v>
      </c>
      <c r="B11" s="37" t="s">
        <v>14</v>
      </c>
      <c r="C11" s="32">
        <v>432053.11</v>
      </c>
      <c r="D11" s="26"/>
      <c r="E11" s="27">
        <f t="shared" si="2"/>
        <v>432053.11</v>
      </c>
      <c r="F11" s="28">
        <v>399191.93</v>
      </c>
      <c r="G11" s="29"/>
      <c r="H11" s="27">
        <f t="shared" si="3"/>
        <v>399191.93</v>
      </c>
      <c r="I11" s="28">
        <f t="shared" si="1"/>
        <v>-32861.18</v>
      </c>
      <c r="J11" s="61"/>
      <c r="M11" s="62"/>
    </row>
    <row r="12" s="5" customFormat="1" ht="25" customHeight="1" spans="1:13">
      <c r="A12" s="24">
        <v>2.2</v>
      </c>
      <c r="B12" s="37" t="s">
        <v>15</v>
      </c>
      <c r="C12" s="32">
        <v>3027880.97</v>
      </c>
      <c r="D12" s="26"/>
      <c r="E12" s="27">
        <f t="shared" si="2"/>
        <v>3027880.97</v>
      </c>
      <c r="F12" s="28">
        <v>3056437</v>
      </c>
      <c r="G12" s="29"/>
      <c r="H12" s="27">
        <f t="shared" si="3"/>
        <v>3056437</v>
      </c>
      <c r="I12" s="28">
        <f t="shared" si="1"/>
        <v>28556.0299999998</v>
      </c>
      <c r="J12" s="61"/>
      <c r="M12" s="62"/>
    </row>
    <row r="13" s="5" customFormat="1" ht="25" customHeight="1" spans="1:13">
      <c r="A13" s="24">
        <v>2.3</v>
      </c>
      <c r="B13" s="37" t="s">
        <v>16</v>
      </c>
      <c r="C13" s="32">
        <v>683376.08</v>
      </c>
      <c r="D13" s="26"/>
      <c r="E13" s="27">
        <f t="shared" si="2"/>
        <v>683376.08</v>
      </c>
      <c r="F13" s="28">
        <v>639573.95</v>
      </c>
      <c r="G13" s="29"/>
      <c r="H13" s="27">
        <f t="shared" si="3"/>
        <v>639573.95</v>
      </c>
      <c r="I13" s="28">
        <f t="shared" si="1"/>
        <v>-43802.13</v>
      </c>
      <c r="J13" s="61"/>
      <c r="M13" s="62"/>
    </row>
    <row r="14" s="5" customFormat="1" ht="25" customHeight="1" spans="1:13">
      <c r="A14" s="24">
        <v>2.4</v>
      </c>
      <c r="B14" s="37" t="s">
        <v>18</v>
      </c>
      <c r="C14" s="32">
        <v>1755751.81</v>
      </c>
      <c r="D14" s="26"/>
      <c r="E14" s="27">
        <f t="shared" si="2"/>
        <v>1755751.81</v>
      </c>
      <c r="F14" s="28">
        <v>1214671.53</v>
      </c>
      <c r="G14" s="29"/>
      <c r="H14" s="27">
        <f t="shared" si="3"/>
        <v>1214671.53</v>
      </c>
      <c r="I14" s="28">
        <f t="shared" si="1"/>
        <v>-541080.28</v>
      </c>
      <c r="J14" s="61"/>
      <c r="M14" s="62"/>
    </row>
    <row r="15" s="4" customFormat="1" ht="25" customHeight="1" spans="1:13">
      <c r="A15" s="38" t="s">
        <v>19</v>
      </c>
      <c r="B15" s="39" t="s">
        <v>20</v>
      </c>
      <c r="C15" s="21"/>
      <c r="D15" s="35">
        <f>SUM(D16,D18)</f>
        <v>1182440.44</v>
      </c>
      <c r="E15" s="35">
        <f t="shared" ref="E15:E45" si="4">D15</f>
        <v>1182440.44</v>
      </c>
      <c r="F15" s="22"/>
      <c r="G15" s="35">
        <f>SUM(G16,G18)</f>
        <v>975466.89225</v>
      </c>
      <c r="H15" s="35">
        <f t="shared" ref="H15:H45" si="5">G15</f>
        <v>975466.89225</v>
      </c>
      <c r="I15" s="22">
        <f t="shared" ref="I15:I45" si="6">H15-E15</f>
        <v>-206973.54775</v>
      </c>
      <c r="J15" s="54"/>
      <c r="M15" s="60"/>
    </row>
    <row r="16" s="6" customFormat="1" ht="25" customHeight="1" spans="1:13">
      <c r="A16" s="40" t="s">
        <v>21</v>
      </c>
      <c r="B16" s="41" t="s">
        <v>22</v>
      </c>
      <c r="C16" s="32"/>
      <c r="D16" s="42">
        <f>SUM(D17)</f>
        <v>0</v>
      </c>
      <c r="E16" s="28">
        <f t="shared" si="4"/>
        <v>0</v>
      </c>
      <c r="F16" s="28"/>
      <c r="G16" s="42">
        <f>SUM(G17)</f>
        <v>0</v>
      </c>
      <c r="H16" s="28">
        <f t="shared" si="5"/>
        <v>0</v>
      </c>
      <c r="I16" s="28">
        <f t="shared" si="6"/>
        <v>0</v>
      </c>
      <c r="J16" s="63"/>
      <c r="M16" s="62"/>
    </row>
    <row r="17" s="5" customFormat="1" ht="25" customHeight="1" spans="1:13">
      <c r="A17" s="43">
        <v>1</v>
      </c>
      <c r="B17" s="41" t="s">
        <v>23</v>
      </c>
      <c r="C17" s="32"/>
      <c r="D17" s="42">
        <v>0</v>
      </c>
      <c r="E17" s="28">
        <f t="shared" si="4"/>
        <v>0</v>
      </c>
      <c r="F17" s="28"/>
      <c r="G17" s="29">
        <v>0</v>
      </c>
      <c r="H17" s="28">
        <f t="shared" si="5"/>
        <v>0</v>
      </c>
      <c r="I17" s="28">
        <f t="shared" si="6"/>
        <v>0</v>
      </c>
      <c r="J17" s="61"/>
      <c r="M17" s="62"/>
    </row>
    <row r="18" s="6" customFormat="1" ht="25" customHeight="1" spans="1:13">
      <c r="A18" s="40" t="s">
        <v>24</v>
      </c>
      <c r="B18" s="41" t="s">
        <v>25</v>
      </c>
      <c r="C18" s="32"/>
      <c r="D18" s="42">
        <f>SUM(D19:D25,D32:D34,D43:D44)</f>
        <v>1182440.44</v>
      </c>
      <c r="E18" s="28">
        <f t="shared" si="4"/>
        <v>1182440.44</v>
      </c>
      <c r="F18" s="28"/>
      <c r="G18" s="42">
        <f>SUM(G19:G25,G32:G34,G43:G44)</f>
        <v>975466.89225</v>
      </c>
      <c r="H18" s="28">
        <f t="shared" si="5"/>
        <v>975466.89225</v>
      </c>
      <c r="I18" s="28">
        <f t="shared" si="6"/>
        <v>-206973.54775</v>
      </c>
      <c r="J18" s="63"/>
      <c r="M18" s="62"/>
    </row>
    <row r="19" s="6" customFormat="1" ht="25" customHeight="1" spans="1:13">
      <c r="A19" s="43">
        <v>1</v>
      </c>
      <c r="B19" s="41" t="s">
        <v>26</v>
      </c>
      <c r="C19" s="32"/>
      <c r="D19" s="42">
        <f>7.4012*10000</f>
        <v>74012</v>
      </c>
      <c r="E19" s="28">
        <f t="shared" si="4"/>
        <v>74012</v>
      </c>
      <c r="F19" s="28"/>
      <c r="G19" s="29">
        <v>68772.0402</v>
      </c>
      <c r="H19" s="28">
        <f t="shared" si="5"/>
        <v>68772.0402</v>
      </c>
      <c r="I19" s="28">
        <f t="shared" si="6"/>
        <v>-5239.9598</v>
      </c>
      <c r="J19" s="63"/>
      <c r="M19" s="62"/>
    </row>
    <row r="20" s="6" customFormat="1" ht="25" customHeight="1" spans="1:13">
      <c r="A20" s="43">
        <v>2</v>
      </c>
      <c r="B20" s="41" t="s">
        <v>27</v>
      </c>
      <c r="C20" s="32"/>
      <c r="D20" s="42">
        <f>14.8024*10000</f>
        <v>148024</v>
      </c>
      <c r="E20" s="28">
        <f t="shared" si="4"/>
        <v>148024</v>
      </c>
      <c r="F20" s="28"/>
      <c r="G20" s="29">
        <v>0</v>
      </c>
      <c r="H20" s="28">
        <f t="shared" si="5"/>
        <v>0</v>
      </c>
      <c r="I20" s="28">
        <f t="shared" si="6"/>
        <v>-148024</v>
      </c>
      <c r="J20" s="63"/>
      <c r="M20" s="62"/>
    </row>
    <row r="21" s="6" customFormat="1" ht="25" customHeight="1" spans="1:13">
      <c r="A21" s="43">
        <v>3</v>
      </c>
      <c r="B21" s="41" t="s">
        <v>28</v>
      </c>
      <c r="C21" s="32"/>
      <c r="D21" s="42">
        <v>0</v>
      </c>
      <c r="E21" s="28">
        <f t="shared" si="4"/>
        <v>0</v>
      </c>
      <c r="F21" s="28"/>
      <c r="G21" s="29">
        <v>0</v>
      </c>
      <c r="H21" s="28">
        <f t="shared" si="5"/>
        <v>0</v>
      </c>
      <c r="I21" s="28">
        <f t="shared" si="6"/>
        <v>0</v>
      </c>
      <c r="J21" s="63"/>
      <c r="M21" s="62"/>
    </row>
    <row r="22" s="6" customFormat="1" ht="25" customHeight="1" spans="1:13">
      <c r="A22" s="43">
        <v>4</v>
      </c>
      <c r="B22" s="41" t="s">
        <v>29</v>
      </c>
      <c r="C22" s="32"/>
      <c r="D22" s="42">
        <f>17.76288*10000</f>
        <v>177628.8</v>
      </c>
      <c r="E22" s="28">
        <f t="shared" si="4"/>
        <v>177628.8</v>
      </c>
      <c r="F22" s="28"/>
      <c r="G22" s="29">
        <v>165052.89648</v>
      </c>
      <c r="H22" s="28">
        <f t="shared" si="5"/>
        <v>165052.89648</v>
      </c>
      <c r="I22" s="28">
        <f t="shared" si="6"/>
        <v>-12575.90352</v>
      </c>
      <c r="J22" s="63"/>
      <c r="M22" s="62"/>
    </row>
    <row r="23" s="6" customFormat="1" ht="25" customHeight="1" spans="1:13">
      <c r="A23" s="43">
        <v>5</v>
      </c>
      <c r="B23" s="41" t="s">
        <v>30</v>
      </c>
      <c r="C23" s="32"/>
      <c r="D23" s="42">
        <v>0</v>
      </c>
      <c r="E23" s="28">
        <f t="shared" si="4"/>
        <v>0</v>
      </c>
      <c r="F23" s="28"/>
      <c r="G23" s="29">
        <v>0</v>
      </c>
      <c r="H23" s="28">
        <f t="shared" si="5"/>
        <v>0</v>
      </c>
      <c r="I23" s="28">
        <f t="shared" si="6"/>
        <v>0</v>
      </c>
      <c r="J23" s="63"/>
      <c r="M23" s="62"/>
    </row>
    <row r="24" s="6" customFormat="1" ht="25" customHeight="1" spans="1:13">
      <c r="A24" s="43">
        <v>6</v>
      </c>
      <c r="B24" s="41" t="s">
        <v>31</v>
      </c>
      <c r="C24" s="32"/>
      <c r="D24" s="42">
        <v>0</v>
      </c>
      <c r="E24" s="28">
        <f t="shared" si="4"/>
        <v>0</v>
      </c>
      <c r="F24" s="28"/>
      <c r="G24" s="29">
        <v>0</v>
      </c>
      <c r="H24" s="28">
        <f t="shared" si="5"/>
        <v>0</v>
      </c>
      <c r="I24" s="28">
        <f t="shared" si="6"/>
        <v>0</v>
      </c>
      <c r="J24" s="63"/>
      <c r="M24" s="62"/>
    </row>
    <row r="25" s="6" customFormat="1" ht="25" customHeight="1" spans="1:13">
      <c r="A25" s="43">
        <v>7</v>
      </c>
      <c r="B25" s="41" t="s">
        <v>22</v>
      </c>
      <c r="C25" s="32"/>
      <c r="D25" s="42">
        <f>SUM(D26:D31)</f>
        <v>185000</v>
      </c>
      <c r="E25" s="28">
        <f t="shared" si="4"/>
        <v>185000</v>
      </c>
      <c r="F25" s="28"/>
      <c r="G25" s="42">
        <f>SUM(G26:G31)</f>
        <v>185000</v>
      </c>
      <c r="H25" s="28">
        <f t="shared" si="5"/>
        <v>185000</v>
      </c>
      <c r="I25" s="28">
        <f t="shared" si="6"/>
        <v>0</v>
      </c>
      <c r="J25" s="63"/>
      <c r="M25" s="62"/>
    </row>
    <row r="26" s="5" customFormat="1" ht="25" customHeight="1" spans="1:13">
      <c r="A26" s="43">
        <v>7.1</v>
      </c>
      <c r="B26" s="41" t="s">
        <v>32</v>
      </c>
      <c r="C26" s="32"/>
      <c r="D26" s="42">
        <f>3*10000</f>
        <v>30000</v>
      </c>
      <c r="E26" s="28">
        <f t="shared" si="4"/>
        <v>30000</v>
      </c>
      <c r="F26" s="28"/>
      <c r="G26" s="29">
        <v>30000</v>
      </c>
      <c r="H26" s="28">
        <f t="shared" si="5"/>
        <v>30000</v>
      </c>
      <c r="I26" s="28">
        <f t="shared" si="6"/>
        <v>0</v>
      </c>
      <c r="J26" s="61"/>
      <c r="M26" s="62"/>
    </row>
    <row r="27" s="6" customFormat="1" ht="25" customHeight="1" spans="1:13">
      <c r="A27" s="43">
        <v>7.2</v>
      </c>
      <c r="B27" s="41" t="s">
        <v>33</v>
      </c>
      <c r="C27" s="32"/>
      <c r="D27" s="42">
        <f>3*10000</f>
        <v>30000</v>
      </c>
      <c r="E27" s="28">
        <f t="shared" si="4"/>
        <v>30000</v>
      </c>
      <c r="F27" s="28"/>
      <c r="G27" s="29">
        <v>30000</v>
      </c>
      <c r="H27" s="28">
        <f t="shared" si="5"/>
        <v>30000</v>
      </c>
      <c r="I27" s="28">
        <f t="shared" si="6"/>
        <v>0</v>
      </c>
      <c r="J27" s="63"/>
      <c r="M27" s="62"/>
    </row>
    <row r="28" s="5" customFormat="1" ht="25" customHeight="1" spans="1:13">
      <c r="A28" s="43">
        <v>7.3</v>
      </c>
      <c r="B28" s="41" t="s">
        <v>34</v>
      </c>
      <c r="C28" s="32"/>
      <c r="D28" s="42">
        <f>0.3*10000</f>
        <v>3000</v>
      </c>
      <c r="E28" s="28">
        <f t="shared" si="4"/>
        <v>3000</v>
      </c>
      <c r="F28" s="28"/>
      <c r="G28" s="29">
        <v>3000</v>
      </c>
      <c r="H28" s="28">
        <f t="shared" si="5"/>
        <v>3000</v>
      </c>
      <c r="I28" s="28">
        <f t="shared" si="6"/>
        <v>0</v>
      </c>
      <c r="J28" s="61"/>
      <c r="M28" s="62"/>
    </row>
    <row r="29" s="6" customFormat="1" ht="25" customHeight="1" spans="1:13">
      <c r="A29" s="43">
        <v>7.4</v>
      </c>
      <c r="B29" s="41" t="s">
        <v>35</v>
      </c>
      <c r="C29" s="32"/>
      <c r="D29" s="42">
        <f>0.9*10000</f>
        <v>9000</v>
      </c>
      <c r="E29" s="28">
        <f t="shared" si="4"/>
        <v>9000</v>
      </c>
      <c r="F29" s="28"/>
      <c r="G29" s="29">
        <v>9000</v>
      </c>
      <c r="H29" s="28">
        <f t="shared" si="5"/>
        <v>9000</v>
      </c>
      <c r="I29" s="28">
        <f t="shared" si="6"/>
        <v>0</v>
      </c>
      <c r="J29" s="63"/>
      <c r="M29" s="62"/>
    </row>
    <row r="30" s="6" customFormat="1" ht="25" customHeight="1" spans="1:13">
      <c r="A30" s="43">
        <v>7.5</v>
      </c>
      <c r="B30" s="41" t="s">
        <v>36</v>
      </c>
      <c r="C30" s="32"/>
      <c r="D30" s="42">
        <f>3.3*10000</f>
        <v>33000</v>
      </c>
      <c r="E30" s="28">
        <f t="shared" si="4"/>
        <v>33000</v>
      </c>
      <c r="F30" s="28"/>
      <c r="G30" s="29">
        <v>33000</v>
      </c>
      <c r="H30" s="28">
        <f t="shared" si="5"/>
        <v>33000</v>
      </c>
      <c r="I30" s="28">
        <f t="shared" si="6"/>
        <v>0</v>
      </c>
      <c r="J30" s="63"/>
      <c r="M30" s="62"/>
    </row>
    <row r="31" s="5" customFormat="1" ht="25" customHeight="1" spans="1:13">
      <c r="A31" s="43">
        <v>7.6</v>
      </c>
      <c r="B31" s="41" t="s">
        <v>37</v>
      </c>
      <c r="C31" s="32"/>
      <c r="D31" s="42">
        <f>8*10000</f>
        <v>80000</v>
      </c>
      <c r="E31" s="28">
        <f t="shared" si="4"/>
        <v>80000</v>
      </c>
      <c r="F31" s="28"/>
      <c r="G31" s="25">
        <v>80000</v>
      </c>
      <c r="H31" s="28">
        <f t="shared" si="5"/>
        <v>80000</v>
      </c>
      <c r="I31" s="28">
        <f t="shared" si="6"/>
        <v>0</v>
      </c>
      <c r="J31" s="61"/>
      <c r="M31" s="62"/>
    </row>
    <row r="32" s="5" customFormat="1" ht="25" customHeight="1" spans="1:13">
      <c r="A32" s="43">
        <v>8</v>
      </c>
      <c r="B32" s="41" t="s">
        <v>38</v>
      </c>
      <c r="C32" s="32"/>
      <c r="D32" s="42">
        <f>7.4012*10000</f>
        <v>74012</v>
      </c>
      <c r="E32" s="28">
        <f t="shared" si="4"/>
        <v>74012</v>
      </c>
      <c r="F32" s="28"/>
      <c r="G32" s="29">
        <v>68772.0402</v>
      </c>
      <c r="H32" s="28">
        <f t="shared" si="5"/>
        <v>68772.0402</v>
      </c>
      <c r="I32" s="28">
        <f t="shared" si="6"/>
        <v>-5239.9598</v>
      </c>
      <c r="J32" s="61"/>
      <c r="M32" s="62"/>
    </row>
    <row r="33" s="5" customFormat="1" ht="25" customHeight="1" spans="1:13">
      <c r="A33" s="43">
        <v>9</v>
      </c>
      <c r="B33" s="41" t="s">
        <v>39</v>
      </c>
      <c r="C33" s="32"/>
      <c r="D33" s="42">
        <f>29.6048*10000</f>
        <v>296048</v>
      </c>
      <c r="E33" s="28">
        <f t="shared" si="4"/>
        <v>296048</v>
      </c>
      <c r="F33" s="28"/>
      <c r="G33" s="29">
        <v>275088.1608</v>
      </c>
      <c r="H33" s="28">
        <f t="shared" si="5"/>
        <v>275088.1608</v>
      </c>
      <c r="I33" s="28">
        <f t="shared" si="6"/>
        <v>-20959.8392</v>
      </c>
      <c r="J33" s="61"/>
      <c r="M33" s="62"/>
    </row>
    <row r="34" s="5" customFormat="1" ht="25" customHeight="1" spans="1:13">
      <c r="A34" s="44">
        <v>10</v>
      </c>
      <c r="B34" s="45" t="s">
        <v>40</v>
      </c>
      <c r="C34" s="46"/>
      <c r="D34" s="47">
        <f>SUM(D35,D38)</f>
        <v>131500.04</v>
      </c>
      <c r="E34" s="28">
        <f t="shared" si="4"/>
        <v>131500.04</v>
      </c>
      <c r="F34" s="46"/>
      <c r="G34" s="47">
        <f>SUM(G35,G38)</f>
        <v>123378.10231</v>
      </c>
      <c r="H34" s="28">
        <f t="shared" si="5"/>
        <v>123378.10231</v>
      </c>
      <c r="I34" s="28">
        <f t="shared" si="6"/>
        <v>-8121.93769000001</v>
      </c>
      <c r="J34" s="64"/>
      <c r="M34" s="62"/>
    </row>
    <row r="35" s="5" customFormat="1" ht="25" customHeight="1" spans="1:13">
      <c r="A35" s="43">
        <v>10.1</v>
      </c>
      <c r="B35" s="48" t="s">
        <v>41</v>
      </c>
      <c r="C35" s="28"/>
      <c r="D35" s="42">
        <f>SUM(D36:D37)</f>
        <v>17022.76</v>
      </c>
      <c r="E35" s="28">
        <f t="shared" si="4"/>
        <v>17022.76</v>
      </c>
      <c r="F35" s="28"/>
      <c r="G35" s="42">
        <f>SUM(G36:G37)</f>
        <v>15817.569246</v>
      </c>
      <c r="H35" s="28">
        <f t="shared" si="5"/>
        <v>15817.569246</v>
      </c>
      <c r="I35" s="28">
        <f t="shared" si="6"/>
        <v>-1205.190754</v>
      </c>
      <c r="J35" s="61"/>
      <c r="M35" s="62"/>
    </row>
    <row r="36" s="7" customFormat="1" ht="25" customHeight="1" spans="1:13">
      <c r="A36" s="43" t="s">
        <v>42</v>
      </c>
      <c r="B36" s="48" t="s">
        <v>43</v>
      </c>
      <c r="C36" s="49"/>
      <c r="D36" s="42">
        <f>0.444072*10000</f>
        <v>4440.72</v>
      </c>
      <c r="E36" s="28">
        <f t="shared" si="4"/>
        <v>4440.72</v>
      </c>
      <c r="F36" s="49"/>
      <c r="G36" s="28">
        <v>4126.322412</v>
      </c>
      <c r="H36" s="28">
        <f t="shared" si="5"/>
        <v>4126.322412</v>
      </c>
      <c r="I36" s="28">
        <f t="shared" si="6"/>
        <v>-314.397588</v>
      </c>
      <c r="J36" s="65"/>
      <c r="M36" s="11"/>
    </row>
    <row r="37" s="7" customFormat="1" ht="25" customHeight="1" spans="1:13">
      <c r="A37" s="43" t="s">
        <v>44</v>
      </c>
      <c r="B37" s="48" t="s">
        <v>45</v>
      </c>
      <c r="C37" s="49"/>
      <c r="D37" s="42">
        <f>1.258204*10000</f>
        <v>12582.04</v>
      </c>
      <c r="E37" s="28">
        <f t="shared" si="4"/>
        <v>12582.04</v>
      </c>
      <c r="F37" s="49"/>
      <c r="G37" s="28">
        <v>11691.246834</v>
      </c>
      <c r="H37" s="28">
        <f t="shared" si="5"/>
        <v>11691.246834</v>
      </c>
      <c r="I37" s="28">
        <f t="shared" si="6"/>
        <v>-890.793166000001</v>
      </c>
      <c r="J37" s="66"/>
      <c r="M37" s="11"/>
    </row>
    <row r="38" s="7" customFormat="1" ht="25" customHeight="1" spans="1:13">
      <c r="A38" s="43">
        <v>10.2</v>
      </c>
      <c r="B38" s="48" t="s">
        <v>46</v>
      </c>
      <c r="C38" s="49"/>
      <c r="D38" s="42">
        <f>SUM(D39:D42)</f>
        <v>114477.28</v>
      </c>
      <c r="E38" s="28">
        <f t="shared" si="4"/>
        <v>114477.28</v>
      </c>
      <c r="F38" s="49"/>
      <c r="G38" s="42">
        <f>SUM(G39:G42)</f>
        <v>107560.533064</v>
      </c>
      <c r="H38" s="28">
        <f t="shared" si="5"/>
        <v>107560.533064</v>
      </c>
      <c r="I38" s="28">
        <f t="shared" si="6"/>
        <v>-6916.746936</v>
      </c>
      <c r="J38" s="66"/>
      <c r="M38" s="11"/>
    </row>
    <row r="39" s="7" customFormat="1" ht="25" customHeight="1" spans="1:13">
      <c r="A39" s="43" t="s">
        <v>47</v>
      </c>
      <c r="B39" s="48" t="s">
        <v>48</v>
      </c>
      <c r="C39" s="49"/>
      <c r="D39" s="42">
        <f>0.938144*10000</f>
        <v>9381.44</v>
      </c>
      <c r="E39" s="28">
        <f t="shared" si="4"/>
        <v>9381.44</v>
      </c>
      <c r="F39" s="49"/>
      <c r="G39" s="28">
        <v>9381.44</v>
      </c>
      <c r="H39" s="28">
        <f t="shared" si="5"/>
        <v>9381.44</v>
      </c>
      <c r="I39" s="28">
        <f t="shared" si="6"/>
        <v>0</v>
      </c>
      <c r="J39" s="66"/>
      <c r="M39" s="11"/>
    </row>
    <row r="40" s="7" customFormat="1" ht="25" customHeight="1" spans="1:13">
      <c r="A40" s="43" t="s">
        <v>49</v>
      </c>
      <c r="B40" s="48" t="s">
        <v>50</v>
      </c>
      <c r="C40" s="49"/>
      <c r="D40" s="42">
        <f>5.036768*10000</f>
        <v>50367.68</v>
      </c>
      <c r="E40" s="28">
        <f t="shared" si="4"/>
        <v>50367.68</v>
      </c>
      <c r="F40" s="49"/>
      <c r="G40" s="28">
        <v>47014.105728</v>
      </c>
      <c r="H40" s="28">
        <f t="shared" si="5"/>
        <v>47014.105728</v>
      </c>
      <c r="I40" s="28">
        <f t="shared" si="6"/>
        <v>-3353.574272</v>
      </c>
      <c r="J40" s="66"/>
      <c r="M40" s="11"/>
    </row>
    <row r="41" s="7" customFormat="1" ht="25" customHeight="1" spans="1:13">
      <c r="A41" s="43" t="s">
        <v>51</v>
      </c>
      <c r="B41" s="48" t="s">
        <v>52</v>
      </c>
      <c r="C41" s="49"/>
      <c r="D41" s="42">
        <f>3.952576*10000</f>
        <v>39525.76</v>
      </c>
      <c r="E41" s="28">
        <f t="shared" si="4"/>
        <v>39525.76</v>
      </c>
      <c r="F41" s="49"/>
      <c r="G41" s="28">
        <v>37010.579296</v>
      </c>
      <c r="H41" s="28">
        <f t="shared" si="5"/>
        <v>37010.579296</v>
      </c>
      <c r="I41" s="28">
        <f t="shared" si="6"/>
        <v>-2515.180704</v>
      </c>
      <c r="J41" s="66"/>
      <c r="M41" s="11"/>
    </row>
    <row r="42" s="7" customFormat="1" ht="25" customHeight="1" spans="1:13">
      <c r="A42" s="43" t="s">
        <v>53</v>
      </c>
      <c r="B42" s="48" t="s">
        <v>54</v>
      </c>
      <c r="C42" s="49"/>
      <c r="D42" s="42">
        <f>1.52024*10000</f>
        <v>15202.4</v>
      </c>
      <c r="E42" s="28">
        <f t="shared" si="4"/>
        <v>15202.4</v>
      </c>
      <c r="F42" s="49"/>
      <c r="G42" s="28">
        <v>14154.40804</v>
      </c>
      <c r="H42" s="28">
        <f t="shared" si="5"/>
        <v>14154.40804</v>
      </c>
      <c r="I42" s="28">
        <f t="shared" si="6"/>
        <v>-1047.99196</v>
      </c>
      <c r="J42" s="66"/>
      <c r="M42" s="11"/>
    </row>
    <row r="43" ht="25" customHeight="1" spans="1:10">
      <c r="A43" s="43">
        <v>11</v>
      </c>
      <c r="B43" s="48" t="s">
        <v>55</v>
      </c>
      <c r="C43" s="49"/>
      <c r="D43" s="42">
        <f>2.22036*10000</f>
        <v>22203.6</v>
      </c>
      <c r="E43" s="28">
        <f t="shared" si="4"/>
        <v>22203.6</v>
      </c>
      <c r="F43" s="49"/>
      <c r="G43" s="28">
        <v>20631.61206</v>
      </c>
      <c r="H43" s="28">
        <f t="shared" si="5"/>
        <v>20631.61206</v>
      </c>
      <c r="I43" s="28">
        <f t="shared" si="6"/>
        <v>-1571.98794</v>
      </c>
      <c r="J43" s="66"/>
    </row>
    <row r="44" ht="25" customHeight="1" spans="1:10">
      <c r="A44" s="43">
        <v>12</v>
      </c>
      <c r="B44" s="48" t="s">
        <v>56</v>
      </c>
      <c r="C44" s="49"/>
      <c r="D44" s="42">
        <f>SUM(D45)</f>
        <v>74012</v>
      </c>
      <c r="E44" s="28">
        <f t="shared" si="4"/>
        <v>74012</v>
      </c>
      <c r="F44" s="49"/>
      <c r="G44" s="28">
        <v>68772.0402</v>
      </c>
      <c r="H44" s="28">
        <f t="shared" si="5"/>
        <v>68772.0402</v>
      </c>
      <c r="I44" s="28">
        <f t="shared" si="6"/>
        <v>-5239.9598</v>
      </c>
      <c r="J44" s="66"/>
    </row>
    <row r="45" ht="25" customHeight="1" spans="1:10">
      <c r="A45" s="43">
        <v>12.1</v>
      </c>
      <c r="B45" s="48" t="s">
        <v>57</v>
      </c>
      <c r="C45" s="49"/>
      <c r="D45" s="42">
        <f>7.4012*10000</f>
        <v>74012</v>
      </c>
      <c r="E45" s="28">
        <f t="shared" si="4"/>
        <v>74012</v>
      </c>
      <c r="F45" s="49"/>
      <c r="G45" s="28">
        <v>68772.0402</v>
      </c>
      <c r="H45" s="28">
        <f t="shared" si="5"/>
        <v>68772.0402</v>
      </c>
      <c r="I45" s="28">
        <f t="shared" si="6"/>
        <v>-5239.9598</v>
      </c>
      <c r="J45" s="66"/>
    </row>
    <row r="46" s="1" customFormat="1" ht="25" customHeight="1" spans="1:13">
      <c r="A46" s="50" t="s">
        <v>58</v>
      </c>
      <c r="B46" s="51" t="s">
        <v>59</v>
      </c>
      <c r="C46" s="17"/>
      <c r="D46" s="22">
        <f t="shared" ref="D46:H46" si="7">SUM(D47)</f>
        <v>429182.7905</v>
      </c>
      <c r="E46" s="22">
        <f t="shared" si="7"/>
        <v>429182.7905</v>
      </c>
      <c r="F46" s="17"/>
      <c r="G46" s="22">
        <f t="shared" si="7"/>
        <v>392633.5456125</v>
      </c>
      <c r="H46" s="22">
        <f t="shared" si="7"/>
        <v>392633.5456125</v>
      </c>
      <c r="I46" s="22">
        <f t="shared" ref="I46:I51" si="8">H46-E46</f>
        <v>-36549.2448875</v>
      </c>
      <c r="J46" s="16"/>
      <c r="M46" s="55"/>
    </row>
    <row r="47" ht="25" customHeight="1" spans="1:10">
      <c r="A47" s="52">
        <v>1</v>
      </c>
      <c r="B47" s="48" t="s">
        <v>60</v>
      </c>
      <c r="C47" s="49"/>
      <c r="D47" s="42">
        <f>SUM(E5,E15)*5%</f>
        <v>429182.7905</v>
      </c>
      <c r="E47" s="28">
        <f>D47</f>
        <v>429182.7905</v>
      </c>
      <c r="F47" s="49"/>
      <c r="G47" s="42">
        <f>SUM(H5,H15)*5%</f>
        <v>392633.5456125</v>
      </c>
      <c r="H47" s="28">
        <f>G47</f>
        <v>392633.5456125</v>
      </c>
      <c r="I47" s="28">
        <f t="shared" si="8"/>
        <v>-36549.2448875</v>
      </c>
      <c r="J47" s="66"/>
    </row>
    <row r="48" s="1" customFormat="1" ht="25" customHeight="1" spans="1:13">
      <c r="A48" s="51" t="s">
        <v>61</v>
      </c>
      <c r="B48" s="51" t="s">
        <v>62</v>
      </c>
      <c r="C48" s="17"/>
      <c r="D48" s="22">
        <v>0</v>
      </c>
      <c r="E48" s="22">
        <v>0</v>
      </c>
      <c r="F48" s="17"/>
      <c r="G48" s="22">
        <v>0</v>
      </c>
      <c r="H48" s="22">
        <v>0</v>
      </c>
      <c r="I48" s="22">
        <f t="shared" si="8"/>
        <v>0</v>
      </c>
      <c r="J48" s="16"/>
      <c r="M48" s="55"/>
    </row>
    <row r="49" ht="25" customHeight="1" spans="1:10">
      <c r="A49" s="40" t="s">
        <v>21</v>
      </c>
      <c r="B49" s="48" t="s">
        <v>63</v>
      </c>
      <c r="C49" s="49"/>
      <c r="D49" s="28">
        <v>0</v>
      </c>
      <c r="E49" s="28">
        <v>0</v>
      </c>
      <c r="F49" s="49"/>
      <c r="G49" s="28">
        <v>0</v>
      </c>
      <c r="H49" s="28">
        <v>0</v>
      </c>
      <c r="I49" s="28">
        <f t="shared" si="8"/>
        <v>0</v>
      </c>
      <c r="J49" s="66"/>
    </row>
    <row r="50" ht="25" customHeight="1" spans="1:10">
      <c r="A50" s="40" t="s">
        <v>24</v>
      </c>
      <c r="B50" s="48" t="s">
        <v>64</v>
      </c>
      <c r="C50" s="49"/>
      <c r="D50" s="28">
        <v>0</v>
      </c>
      <c r="E50" s="28">
        <v>0</v>
      </c>
      <c r="F50" s="49"/>
      <c r="G50" s="28">
        <v>0</v>
      </c>
      <c r="H50" s="28">
        <v>0</v>
      </c>
      <c r="I50" s="28">
        <f t="shared" si="8"/>
        <v>0</v>
      </c>
      <c r="J50" s="66"/>
    </row>
    <row r="51" s="4" customFormat="1" ht="25" customHeight="1" spans="1:13">
      <c r="A51" s="53" t="s">
        <v>65</v>
      </c>
      <c r="B51" s="54" t="s">
        <v>66</v>
      </c>
      <c r="C51" s="22">
        <f>C5</f>
        <v>7401215.37</v>
      </c>
      <c r="D51" s="22">
        <f>D15+D46+D48</f>
        <v>1611623.2305</v>
      </c>
      <c r="E51" s="22">
        <f>E5+E15+E46+E48</f>
        <v>9012838.6005</v>
      </c>
      <c r="F51" s="22">
        <f>F5</f>
        <v>6877204.02</v>
      </c>
      <c r="G51" s="22">
        <f>G15+G46+G48</f>
        <v>1368100.4378625</v>
      </c>
      <c r="H51" s="22">
        <f>H5+H15+H46+H48</f>
        <v>8245304.4578625</v>
      </c>
      <c r="I51" s="22">
        <f t="shared" si="8"/>
        <v>-767534.1426375</v>
      </c>
      <c r="J51" s="54"/>
      <c r="M51" s="60"/>
    </row>
    <row r="54" spans="9:9">
      <c r="I54" s="67"/>
    </row>
  </sheetData>
  <mergeCells count="7">
    <mergeCell ref="A2:J2"/>
    <mergeCell ref="C3:E3"/>
    <mergeCell ref="F3:H3"/>
    <mergeCell ref="A3:A4"/>
    <mergeCell ref="B3:B4"/>
    <mergeCell ref="I3:I4"/>
    <mergeCell ref="J3:J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2023-04-27T03:51:00Z</dcterms:created>
  <dcterms:modified xsi:type="dcterms:W3CDTF">2023-05-04T01:27:03Z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D36F6CE738214FAFB47DE0B97CCD6D8E_13</vt:lpwstr>
  </property>
  <property fmtid="{D5CDD505-2E9C-101B-9397-08002B2CF9AE}" pid="3" name="KSOProductBuildVer">
    <vt:lpwstr>2052-11.1.0.14036</vt:lpwstr>
  </property>
</Properties>
</file>