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汇总表" sheetId="1" r:id="rId1"/>
    <sheet name="Sheet1" sheetId="5" state="hidden" r:id="rId2"/>
    <sheet name="Sheet2" sheetId="4" state="hidden" r:id="rId3"/>
  </sheets>
  <definedNames>
    <definedName name="_xlnm.Print_Titles" localSheetId="0">汇总表!$1:$5</definedName>
  </definedNames>
  <calcPr calcId="144525" concurrentCalc="0"/>
</workbook>
</file>

<file path=xl/sharedStrings.xml><?xml version="1.0" encoding="utf-8"?>
<sst xmlns="http://schemas.openxmlformats.org/spreadsheetml/2006/main" count="136" uniqueCount="98">
  <si>
    <t>附件1</t>
  </si>
  <si>
    <t>概算汇总表</t>
  </si>
  <si>
    <t xml:space="preserve">工程名称：龙水湖环湖步道北段建设工程                                                                                 金额单位：元 </t>
  </si>
  <si>
    <t>序号</t>
  </si>
  <si>
    <t>工程或费用名称</t>
  </si>
  <si>
    <t>概算造价</t>
  </si>
  <si>
    <t/>
  </si>
  <si>
    <t>技术经济指标</t>
  </si>
  <si>
    <t>占总投资额
（%）</t>
  </si>
  <si>
    <t>备注</t>
  </si>
  <si>
    <t>建筑
工程费</t>
  </si>
  <si>
    <t>安装
工程费</t>
  </si>
  <si>
    <t>设备
购置费</t>
  </si>
  <si>
    <t>其他费用</t>
  </si>
  <si>
    <t>合计</t>
  </si>
  <si>
    <t>计量
指标</t>
  </si>
  <si>
    <t>单位</t>
  </si>
  <si>
    <t>数量</t>
  </si>
  <si>
    <t>单位造价
（元）</t>
  </si>
  <si>
    <t>一</t>
  </si>
  <si>
    <t>工程费用</t>
  </si>
  <si>
    <t>公路长度</t>
  </si>
  <si>
    <t>m</t>
  </si>
  <si>
    <t>公路工程</t>
  </si>
  <si>
    <t>详见概算书</t>
  </si>
  <si>
    <t>二</t>
  </si>
  <si>
    <t>工程建设其他费</t>
  </si>
  <si>
    <t>（一）</t>
  </si>
  <si>
    <t>前期工作费</t>
  </si>
  <si>
    <t>征地补偿安置费</t>
  </si>
  <si>
    <t>不征地</t>
  </si>
  <si>
    <t>（二）</t>
  </si>
  <si>
    <t>项目建设有关的其他费用</t>
  </si>
  <si>
    <t>场地准备及临时设施费</t>
  </si>
  <si>
    <t>按建安工程费1%</t>
  </si>
  <si>
    <t>项目建设管理费</t>
  </si>
  <si>
    <t>根据业主回复不计取</t>
  </si>
  <si>
    <t>建设管理代建费</t>
  </si>
  <si>
    <t>建设工程监理费</t>
  </si>
  <si>
    <t>按2021概算编规计算</t>
  </si>
  <si>
    <t>招标代理服务费</t>
  </si>
  <si>
    <t>中标单位支付</t>
  </si>
  <si>
    <t>招标交易服务费</t>
  </si>
  <si>
    <t>项目可研编制费</t>
  </si>
  <si>
    <t>暂按3万元计算</t>
  </si>
  <si>
    <t>环境影响咨询服务费</t>
  </si>
  <si>
    <t>地质灾害评价费</t>
  </si>
  <si>
    <t>暂按0.3万元计算</t>
  </si>
  <si>
    <t>节能评估费</t>
  </si>
  <si>
    <t>风险评估费</t>
  </si>
  <si>
    <t>水土保持方案编制、审核</t>
  </si>
  <si>
    <t>暂按8万元计算</t>
  </si>
  <si>
    <t>工程勘察费</t>
  </si>
  <si>
    <t>工程设计费</t>
  </si>
  <si>
    <t>咨询费</t>
  </si>
  <si>
    <t>设计咨询费</t>
  </si>
  <si>
    <t>10.1.1</t>
  </si>
  <si>
    <t>勘察成果审查费</t>
  </si>
  <si>
    <t>勘查费6%</t>
  </si>
  <si>
    <t>10.1.2</t>
  </si>
  <si>
    <t>施工图审查费</t>
  </si>
  <si>
    <t>渝价[2013]423号</t>
  </si>
  <si>
    <t>工程造价咨询费</t>
  </si>
  <si>
    <t>10.2.1</t>
  </si>
  <si>
    <t>概算审核费</t>
  </si>
  <si>
    <t>10.2.2</t>
  </si>
  <si>
    <t>工程量清单及组价编制及审核</t>
  </si>
  <si>
    <t>10.2.3</t>
  </si>
  <si>
    <t>结算审核费</t>
  </si>
  <si>
    <t>10.2.4</t>
  </si>
  <si>
    <t>财务决算费</t>
  </si>
  <si>
    <t>渝会协（2015）36号的80%计算</t>
  </si>
  <si>
    <t>工程保险费</t>
  </si>
  <si>
    <t>按建安工程费0.3%</t>
  </si>
  <si>
    <t>安全生产保障费</t>
  </si>
  <si>
    <t>第三方质量检测费</t>
  </si>
  <si>
    <t>三</t>
  </si>
  <si>
    <t>预备费</t>
  </si>
  <si>
    <t>基本预备费</t>
  </si>
  <si>
    <t>（1+2）*5%</t>
  </si>
  <si>
    <t>四</t>
  </si>
  <si>
    <t>专项费用</t>
  </si>
  <si>
    <t>建设期贷款利息</t>
  </si>
  <si>
    <t>不考虑建设期贷款利息</t>
  </si>
  <si>
    <t>铺底流动资金</t>
  </si>
  <si>
    <t>五</t>
  </si>
  <si>
    <t>项目总投资</t>
  </si>
  <si>
    <t>项目名称</t>
  </si>
  <si>
    <t>送审金额</t>
  </si>
  <si>
    <t>审核金额</t>
  </si>
  <si>
    <t>审增、减（+/-）金额</t>
  </si>
  <si>
    <t>审增、减（+/-）率</t>
  </si>
  <si>
    <t>独立费</t>
  </si>
  <si>
    <t>专项部分投资</t>
  </si>
  <si>
    <t>审增、减金额</t>
  </si>
  <si>
    <t>审增、减率</t>
  </si>
  <si>
    <t>工程其他费用</t>
  </si>
  <si>
    <t>/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</si>
</sst>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2">
    <font>
      <sz val="12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color indexed="0"/>
      <name val="宋体"/>
      <charset val="134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b/>
      <sz val="11"/>
      <color theme="1"/>
      <name val="宋体"/>
      <charset val="134"/>
    </font>
    <font>
      <b/>
      <sz val="11"/>
      <color indexed="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9"/>
      <color indexed="0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9"/>
      <color indexed="0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color theme="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9" borderId="7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40" fillId="13" borderId="5" applyNumberFormat="0" applyAlignment="0" applyProtection="0">
      <alignment vertical="center"/>
    </xf>
    <xf numFmtId="0" fontId="41" fillId="14" borderId="11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0" fillId="0" borderId="0"/>
    <xf numFmtId="0" fontId="54" fillId="42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49" borderId="19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60" fillId="44" borderId="6" applyNumberFormat="0" applyAlignment="0" applyProtection="0">
      <alignment vertical="center"/>
    </xf>
    <xf numFmtId="0" fontId="0" fillId="54" borderId="21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1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0" fontId="2" fillId="0" borderId="2" xfId="13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center" vertical="center"/>
      <protection locked="0"/>
    </xf>
    <xf numFmtId="176" fontId="16" fillId="0" borderId="3" xfId="0" applyNumberFormat="1" applyFont="1" applyFill="1" applyBorder="1" applyAlignment="1">
      <alignment horizontal="center" vertical="center" wrapText="1"/>
    </xf>
    <xf numFmtId="0" fontId="5" fillId="0" borderId="3" xfId="93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 applyProtection="1">
      <alignment horizontal="center" vertical="center"/>
      <protection locked="0"/>
    </xf>
    <xf numFmtId="176" fontId="17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0" fontId="6" fillId="0" borderId="0" xfId="0" applyNumberFormat="1" applyFont="1" applyFill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shrinkToFit="1"/>
    </xf>
    <xf numFmtId="1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shrinkToFit="1"/>
    </xf>
    <xf numFmtId="0" fontId="21" fillId="0" borderId="3" xfId="0" applyFont="1" applyFill="1" applyBorder="1" applyAlignment="1">
      <alignment horizontal="center" vertical="center" shrinkToFit="1"/>
    </xf>
    <xf numFmtId="10" fontId="7" fillId="0" borderId="3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shrinkToFit="1"/>
    </xf>
    <xf numFmtId="10" fontId="17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 shrinkToFit="1"/>
    </xf>
    <xf numFmtId="0" fontId="23" fillId="0" borderId="3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  <cellStyle name="常规_造价对比分析表" xfId="91"/>
    <cellStyle name="常规_合川城南片区估算5.24" xfId="92"/>
    <cellStyle name="Normal" xfId="9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4"/>
  <sheetViews>
    <sheetView tabSelected="1" zoomScale="85" zoomScaleNormal="85" workbookViewId="0">
      <selection activeCell="J11" sqref="J11"/>
    </sheetView>
  </sheetViews>
  <sheetFormatPr defaultColWidth="9" defaultRowHeight="18.75" customHeight="1"/>
  <cols>
    <col min="1" max="1" width="6.5" style="10" customWidth="1"/>
    <col min="2" max="2" width="15.25" style="11" customWidth="1"/>
    <col min="3" max="3" width="13.2" style="12" customWidth="1"/>
    <col min="4" max="4" width="10.8" style="12" customWidth="1"/>
    <col min="5" max="5" width="7.625" style="12" customWidth="1"/>
    <col min="6" max="6" width="12.6" style="12" customWidth="1"/>
    <col min="7" max="7" width="12.25" style="12" customWidth="1"/>
    <col min="8" max="8" width="11.6333333333333" style="12" customWidth="1"/>
    <col min="9" max="9" width="4.125" style="12" customWidth="1"/>
    <col min="10" max="10" width="9.8" style="12" customWidth="1"/>
    <col min="11" max="11" width="10.125" style="12" customWidth="1"/>
    <col min="12" max="12" width="9.25" style="13" customWidth="1"/>
    <col min="13" max="13" width="12.2" style="14" customWidth="1"/>
    <col min="14" max="15" width="9" style="10"/>
    <col min="16" max="16" width="11.5" style="10"/>
    <col min="17" max="16384" width="9" style="10"/>
  </cols>
  <sheetData>
    <row r="1" customHeight="1" spans="1:1">
      <c r="A1" s="10" t="s">
        <v>0</v>
      </c>
    </row>
    <row r="2" ht="30" customHeight="1" spans="1:13">
      <c r="A2" s="15" t="s">
        <v>1</v>
      </c>
      <c r="B2" s="16"/>
      <c r="C2" s="15"/>
      <c r="D2" s="15"/>
      <c r="E2" s="15"/>
      <c r="F2" s="15"/>
      <c r="G2" s="15"/>
      <c r="H2" s="15"/>
      <c r="I2" s="15"/>
      <c r="J2" s="15"/>
      <c r="K2" s="15"/>
      <c r="L2" s="45"/>
      <c r="M2" s="46"/>
    </row>
    <row r="3" ht="30" customHeight="1" spans="1:13">
      <c r="A3" s="17" t="s">
        <v>2</v>
      </c>
      <c r="B3" s="17"/>
      <c r="C3" s="18"/>
      <c r="D3" s="18"/>
      <c r="E3" s="18"/>
      <c r="F3" s="18"/>
      <c r="G3" s="18"/>
      <c r="H3" s="18"/>
      <c r="I3" s="18"/>
      <c r="J3" s="18"/>
      <c r="K3" s="18"/>
      <c r="L3" s="47"/>
      <c r="M3" s="48"/>
    </row>
    <row r="4" s="8" customFormat="1" ht="30" customHeight="1" spans="1:13">
      <c r="A4" s="18" t="s">
        <v>3</v>
      </c>
      <c r="B4" s="17" t="s">
        <v>4</v>
      </c>
      <c r="C4" s="18" t="s">
        <v>5</v>
      </c>
      <c r="D4" s="18" t="s">
        <v>6</v>
      </c>
      <c r="E4" s="18"/>
      <c r="F4" s="18"/>
      <c r="G4" s="18" t="s">
        <v>6</v>
      </c>
      <c r="H4" s="18" t="s">
        <v>7</v>
      </c>
      <c r="I4" s="18" t="s">
        <v>6</v>
      </c>
      <c r="J4" s="18" t="s">
        <v>6</v>
      </c>
      <c r="K4" s="18" t="s">
        <v>6</v>
      </c>
      <c r="L4" s="47" t="s">
        <v>8</v>
      </c>
      <c r="M4" s="49" t="s">
        <v>9</v>
      </c>
    </row>
    <row r="5" s="8" customFormat="1" ht="41" customHeight="1" spans="1:13">
      <c r="A5" s="18" t="s">
        <v>6</v>
      </c>
      <c r="B5" s="17" t="s">
        <v>6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47" t="s">
        <v>6</v>
      </c>
      <c r="M5" s="49"/>
    </row>
    <row r="6" s="9" customFormat="1" ht="22" customHeight="1" spans="1:13">
      <c r="A6" s="19" t="s">
        <v>19</v>
      </c>
      <c r="B6" s="20" t="s">
        <v>20</v>
      </c>
      <c r="C6" s="21">
        <f>C7</f>
        <v>6102426.02</v>
      </c>
      <c r="D6" s="21">
        <f>D7</f>
        <v>774778</v>
      </c>
      <c r="E6" s="21"/>
      <c r="F6" s="21"/>
      <c r="G6" s="21">
        <f t="shared" ref="G6:G43" si="0">C6+D6+E6+F6</f>
        <v>6877204.02</v>
      </c>
      <c r="H6" s="22" t="s">
        <v>21</v>
      </c>
      <c r="I6" s="29" t="s">
        <v>22</v>
      </c>
      <c r="J6" s="29">
        <f>332.043+1775.389</f>
        <v>2107.432</v>
      </c>
      <c r="K6" s="28">
        <f>G6/J6</f>
        <v>3263.31004748908</v>
      </c>
      <c r="L6" s="50">
        <f t="shared" ref="L6:L38" si="1">G6/$G$44</f>
        <v>0.834075204741435</v>
      </c>
      <c r="M6" s="51"/>
    </row>
    <row r="7" s="9" customFormat="1" ht="23" customHeight="1" spans="1:13">
      <c r="A7" s="23">
        <v>1</v>
      </c>
      <c r="B7" s="23" t="s">
        <v>23</v>
      </c>
      <c r="C7" s="24">
        <v>6102426.02</v>
      </c>
      <c r="D7" s="24">
        <v>774778</v>
      </c>
      <c r="E7" s="24"/>
      <c r="F7" s="24"/>
      <c r="G7" s="24">
        <f t="shared" si="0"/>
        <v>6877204.02</v>
      </c>
      <c r="H7" s="22"/>
      <c r="I7" s="29"/>
      <c r="J7" s="29"/>
      <c r="K7" s="28"/>
      <c r="L7" s="52">
        <f t="shared" si="1"/>
        <v>0.834075204741435</v>
      </c>
      <c r="M7" s="51" t="s">
        <v>24</v>
      </c>
    </row>
    <row r="8" s="9" customFormat="1" ht="35" customHeight="1" spans="1:13">
      <c r="A8" s="25" t="s">
        <v>25</v>
      </c>
      <c r="B8" s="26" t="s">
        <v>26</v>
      </c>
      <c r="C8" s="27"/>
      <c r="D8" s="27"/>
      <c r="E8" s="28"/>
      <c r="F8" s="29">
        <f>SUM(F9,F11)</f>
        <v>975466.910694</v>
      </c>
      <c r="G8" s="21">
        <f t="shared" si="0"/>
        <v>975466.910694</v>
      </c>
      <c r="H8" s="22" t="s">
        <v>21</v>
      </c>
      <c r="I8" s="29" t="s">
        <v>22</v>
      </c>
      <c r="J8" s="29">
        <f>332.043+1775.389</f>
        <v>2107.432</v>
      </c>
      <c r="K8" s="28">
        <f>G8/J8</f>
        <v>462.86993397367</v>
      </c>
      <c r="L8" s="50">
        <f t="shared" si="1"/>
        <v>0.118305747639517</v>
      </c>
      <c r="M8" s="53"/>
    </row>
    <row r="9" ht="27" customHeight="1" spans="1:16">
      <c r="A9" s="30" t="s">
        <v>27</v>
      </c>
      <c r="B9" s="31" t="s">
        <v>28</v>
      </c>
      <c r="C9" s="32"/>
      <c r="D9" s="32"/>
      <c r="E9" s="33"/>
      <c r="F9" s="34">
        <f>SUM(F10)</f>
        <v>0</v>
      </c>
      <c r="G9" s="24">
        <f t="shared" si="0"/>
        <v>0</v>
      </c>
      <c r="H9" s="34"/>
      <c r="I9" s="36"/>
      <c r="J9" s="36"/>
      <c r="K9" s="33"/>
      <c r="L9" s="52">
        <f t="shared" si="1"/>
        <v>0</v>
      </c>
      <c r="M9" s="54"/>
      <c r="P9" s="9"/>
    </row>
    <row r="10" ht="14.25" spans="1:16">
      <c r="A10" s="35">
        <v>1</v>
      </c>
      <c r="B10" s="31" t="s">
        <v>29</v>
      </c>
      <c r="C10" s="32"/>
      <c r="D10" s="32"/>
      <c r="E10" s="33"/>
      <c r="F10" s="36">
        <v>0</v>
      </c>
      <c r="G10" s="24">
        <f t="shared" si="0"/>
        <v>0</v>
      </c>
      <c r="H10" s="34"/>
      <c r="I10" s="36"/>
      <c r="J10" s="36"/>
      <c r="K10" s="33"/>
      <c r="L10" s="52">
        <f t="shared" si="1"/>
        <v>0</v>
      </c>
      <c r="M10" s="54" t="s">
        <v>30</v>
      </c>
      <c r="P10" s="9"/>
    </row>
    <row r="11" s="9" customFormat="1" ht="28" customHeight="1" spans="1:13">
      <c r="A11" s="30" t="s">
        <v>31</v>
      </c>
      <c r="B11" s="31" t="s">
        <v>32</v>
      </c>
      <c r="C11" s="32"/>
      <c r="D11" s="32"/>
      <c r="E11" s="33"/>
      <c r="F11" s="34">
        <f>SUM(F12:F18,F25:F27,F36:F37)</f>
        <v>975466.910694</v>
      </c>
      <c r="G11" s="24">
        <f t="shared" si="0"/>
        <v>975466.910694</v>
      </c>
      <c r="H11" s="34"/>
      <c r="I11" s="36"/>
      <c r="J11" s="36"/>
      <c r="K11" s="33"/>
      <c r="L11" s="52">
        <f t="shared" si="1"/>
        <v>0.118305747639517</v>
      </c>
      <c r="M11" s="54"/>
    </row>
    <row r="12" s="9" customFormat="1" ht="25" customHeight="1" spans="1:13">
      <c r="A12" s="35">
        <v>1</v>
      </c>
      <c r="B12" s="31" t="s">
        <v>33</v>
      </c>
      <c r="C12" s="37"/>
      <c r="D12" s="37"/>
      <c r="E12" s="37"/>
      <c r="F12" s="36">
        <f>(C6+D6)*1%</f>
        <v>68772.0402</v>
      </c>
      <c r="G12" s="24">
        <f t="shared" si="0"/>
        <v>68772.0402</v>
      </c>
      <c r="H12" s="37"/>
      <c r="I12" s="37"/>
      <c r="J12" s="37"/>
      <c r="K12" s="38"/>
      <c r="L12" s="52">
        <f t="shared" si="1"/>
        <v>0.00834075204741435</v>
      </c>
      <c r="M12" s="54" t="s">
        <v>34</v>
      </c>
    </row>
    <row r="13" s="9" customFormat="1" ht="25" customHeight="1" spans="1:13">
      <c r="A13" s="35">
        <v>2</v>
      </c>
      <c r="B13" s="31" t="s">
        <v>35</v>
      </c>
      <c r="C13" s="37"/>
      <c r="D13" s="37"/>
      <c r="E13" s="37"/>
      <c r="F13" s="36">
        <v>0</v>
      </c>
      <c r="G13" s="24">
        <f t="shared" si="0"/>
        <v>0</v>
      </c>
      <c r="H13" s="37"/>
      <c r="I13" s="37"/>
      <c r="J13" s="37"/>
      <c r="K13" s="38"/>
      <c r="L13" s="52">
        <f t="shared" si="1"/>
        <v>0</v>
      </c>
      <c r="M13" s="54" t="s">
        <v>36</v>
      </c>
    </row>
    <row r="14" s="9" customFormat="1" ht="20.1" customHeight="1" spans="1:13">
      <c r="A14" s="35">
        <v>3</v>
      </c>
      <c r="B14" s="31" t="s">
        <v>37</v>
      </c>
      <c r="C14" s="37"/>
      <c r="D14" s="37"/>
      <c r="E14" s="37"/>
      <c r="F14" s="36">
        <v>0</v>
      </c>
      <c r="G14" s="24">
        <f t="shared" si="0"/>
        <v>0</v>
      </c>
      <c r="H14" s="37"/>
      <c r="I14" s="37"/>
      <c r="J14" s="37"/>
      <c r="K14" s="37"/>
      <c r="L14" s="52">
        <f t="shared" si="1"/>
        <v>0</v>
      </c>
      <c r="M14" s="55"/>
    </row>
    <row r="15" ht="20.1" customHeight="1" spans="1:16">
      <c r="A15" s="35">
        <v>4</v>
      </c>
      <c r="B15" s="31" t="s">
        <v>38</v>
      </c>
      <c r="C15" s="37"/>
      <c r="D15" s="37"/>
      <c r="E15" s="37"/>
      <c r="F15" s="36">
        <f>G6*3%*0.8</f>
        <v>165052.89648</v>
      </c>
      <c r="G15" s="24">
        <f t="shared" si="0"/>
        <v>165052.89648</v>
      </c>
      <c r="H15" s="37"/>
      <c r="I15" s="37"/>
      <c r="J15" s="37"/>
      <c r="K15" s="37"/>
      <c r="L15" s="52">
        <f t="shared" si="1"/>
        <v>0.0200178049137944</v>
      </c>
      <c r="M15" s="54" t="s">
        <v>39</v>
      </c>
      <c r="P15" s="9"/>
    </row>
    <row r="16" ht="25" customHeight="1" spans="1:16">
      <c r="A16" s="35">
        <v>5</v>
      </c>
      <c r="B16" s="31" t="s">
        <v>40</v>
      </c>
      <c r="C16" s="37"/>
      <c r="D16" s="37"/>
      <c r="E16" s="37"/>
      <c r="F16" s="36">
        <v>0</v>
      </c>
      <c r="G16" s="24">
        <f t="shared" si="0"/>
        <v>0</v>
      </c>
      <c r="H16" s="37"/>
      <c r="I16" s="37"/>
      <c r="J16" s="37"/>
      <c r="K16" s="37"/>
      <c r="L16" s="52">
        <f t="shared" si="1"/>
        <v>0</v>
      </c>
      <c r="M16" s="54" t="s">
        <v>41</v>
      </c>
      <c r="P16" s="9"/>
    </row>
    <row r="17" ht="20.1" customHeight="1" spans="1:16">
      <c r="A17" s="35">
        <v>6</v>
      </c>
      <c r="B17" s="31" t="s">
        <v>42</v>
      </c>
      <c r="C17" s="37"/>
      <c r="D17" s="37"/>
      <c r="E17" s="37"/>
      <c r="F17" s="36">
        <v>0</v>
      </c>
      <c r="G17" s="24">
        <f t="shared" si="0"/>
        <v>0</v>
      </c>
      <c r="H17" s="37"/>
      <c r="I17" s="37"/>
      <c r="J17" s="37"/>
      <c r="K17" s="37"/>
      <c r="L17" s="52">
        <f t="shared" si="1"/>
        <v>0</v>
      </c>
      <c r="M17" s="54" t="s">
        <v>41</v>
      </c>
      <c r="P17" s="9"/>
    </row>
    <row r="18" ht="31" customHeight="1" spans="1:16">
      <c r="A18" s="35">
        <v>7</v>
      </c>
      <c r="B18" s="31" t="s">
        <v>28</v>
      </c>
      <c r="C18" s="38"/>
      <c r="D18" s="38"/>
      <c r="E18" s="38"/>
      <c r="F18" s="34">
        <f>SUM(F19:F24)</f>
        <v>185000</v>
      </c>
      <c r="G18" s="24">
        <f t="shared" si="0"/>
        <v>185000</v>
      </c>
      <c r="H18" s="38"/>
      <c r="I18" s="38"/>
      <c r="J18" s="38"/>
      <c r="K18" s="38"/>
      <c r="L18" s="52">
        <f t="shared" si="1"/>
        <v>0.0224370125458581</v>
      </c>
      <c r="M18" s="54"/>
      <c r="P18" s="9"/>
    </row>
    <row r="19" s="9" customFormat="1" ht="20.1" customHeight="1" spans="1:13">
      <c r="A19" s="35">
        <v>7.1</v>
      </c>
      <c r="B19" s="31" t="s">
        <v>43</v>
      </c>
      <c r="C19" s="38"/>
      <c r="D19" s="38"/>
      <c r="E19" s="38"/>
      <c r="F19" s="36">
        <v>30000</v>
      </c>
      <c r="G19" s="24">
        <f t="shared" si="0"/>
        <v>30000</v>
      </c>
      <c r="H19" s="38"/>
      <c r="I19" s="38"/>
      <c r="J19" s="38"/>
      <c r="K19" s="38"/>
      <c r="L19" s="52">
        <f t="shared" si="1"/>
        <v>0.0036384344668959</v>
      </c>
      <c r="M19" s="54" t="s">
        <v>44</v>
      </c>
    </row>
    <row r="20" ht="27" customHeight="1" spans="1:16">
      <c r="A20" s="35">
        <v>7.2</v>
      </c>
      <c r="B20" s="31" t="s">
        <v>45</v>
      </c>
      <c r="C20" s="38"/>
      <c r="D20" s="38"/>
      <c r="E20" s="38"/>
      <c r="F20" s="36">
        <v>30000</v>
      </c>
      <c r="G20" s="24">
        <f t="shared" si="0"/>
        <v>30000</v>
      </c>
      <c r="H20" s="38"/>
      <c r="I20" s="38"/>
      <c r="J20" s="38"/>
      <c r="K20" s="38"/>
      <c r="L20" s="52">
        <f t="shared" si="1"/>
        <v>0.0036384344668959</v>
      </c>
      <c r="M20" s="54" t="s">
        <v>44</v>
      </c>
      <c r="P20" s="9"/>
    </row>
    <row r="21" ht="27" customHeight="1" spans="1:16">
      <c r="A21" s="35">
        <v>7.3</v>
      </c>
      <c r="B21" s="31" t="s">
        <v>46</v>
      </c>
      <c r="C21" s="38"/>
      <c r="D21" s="38"/>
      <c r="E21" s="38"/>
      <c r="F21" s="36">
        <v>3000</v>
      </c>
      <c r="G21" s="24">
        <f t="shared" si="0"/>
        <v>3000</v>
      </c>
      <c r="H21" s="38"/>
      <c r="I21" s="38"/>
      <c r="J21" s="38"/>
      <c r="K21" s="38"/>
      <c r="L21" s="52">
        <f t="shared" si="1"/>
        <v>0.00036384344668959</v>
      </c>
      <c r="M21" s="54" t="s">
        <v>47</v>
      </c>
      <c r="P21" s="9"/>
    </row>
    <row r="22" ht="27" customHeight="1" spans="1:16">
      <c r="A22" s="35">
        <v>7.4</v>
      </c>
      <c r="B22" s="31" t="s">
        <v>48</v>
      </c>
      <c r="C22" s="38"/>
      <c r="D22" s="38"/>
      <c r="E22" s="38"/>
      <c r="F22" s="36">
        <f>F19*0.3</f>
        <v>9000</v>
      </c>
      <c r="G22" s="24">
        <f t="shared" si="0"/>
        <v>9000</v>
      </c>
      <c r="H22" s="38"/>
      <c r="I22" s="38"/>
      <c r="J22" s="38"/>
      <c r="K22" s="38"/>
      <c r="L22" s="52">
        <f t="shared" si="1"/>
        <v>0.00109153034006877</v>
      </c>
      <c r="M22" s="54" t="s">
        <v>39</v>
      </c>
      <c r="P22" s="9"/>
    </row>
    <row r="23" ht="27" customHeight="1" spans="1:16">
      <c r="A23" s="35">
        <v>7.5</v>
      </c>
      <c r="B23" s="31" t="s">
        <v>49</v>
      </c>
      <c r="C23" s="38"/>
      <c r="D23" s="38"/>
      <c r="E23" s="38"/>
      <c r="F23" s="36">
        <f>F19*0.6+F19*0.5</f>
        <v>33000</v>
      </c>
      <c r="G23" s="24">
        <f t="shared" si="0"/>
        <v>33000</v>
      </c>
      <c r="H23" s="38"/>
      <c r="I23" s="38"/>
      <c r="J23" s="38"/>
      <c r="K23" s="38"/>
      <c r="L23" s="52">
        <f t="shared" si="1"/>
        <v>0.00400227791358549</v>
      </c>
      <c r="M23" s="54" t="s">
        <v>39</v>
      </c>
      <c r="P23" s="9"/>
    </row>
    <row r="24" ht="27" customHeight="1" spans="1:16">
      <c r="A24" s="35">
        <v>7.6</v>
      </c>
      <c r="B24" s="31" t="s">
        <v>50</v>
      </c>
      <c r="C24" s="38"/>
      <c r="D24" s="38"/>
      <c r="E24" s="38"/>
      <c r="F24" s="39">
        <v>80000</v>
      </c>
      <c r="G24" s="24">
        <f t="shared" si="0"/>
        <v>80000</v>
      </c>
      <c r="H24" s="38"/>
      <c r="I24" s="38"/>
      <c r="J24" s="38"/>
      <c r="K24" s="38"/>
      <c r="L24" s="52">
        <f t="shared" si="1"/>
        <v>0.0097024919117224</v>
      </c>
      <c r="M24" s="54" t="s">
        <v>51</v>
      </c>
      <c r="P24" s="9"/>
    </row>
    <row r="25" ht="27" customHeight="1" spans="1:16">
      <c r="A25" s="35">
        <v>8</v>
      </c>
      <c r="B25" s="31" t="s">
        <v>52</v>
      </c>
      <c r="C25" s="38"/>
      <c r="D25" s="38"/>
      <c r="E25" s="38"/>
      <c r="F25" s="36">
        <f>G6*1%</f>
        <v>68772.0402</v>
      </c>
      <c r="G25" s="24">
        <f t="shared" si="0"/>
        <v>68772.0402</v>
      </c>
      <c r="H25" s="38"/>
      <c r="I25" s="38"/>
      <c r="J25" s="38"/>
      <c r="K25" s="38"/>
      <c r="L25" s="52">
        <f t="shared" si="1"/>
        <v>0.00834075204741435</v>
      </c>
      <c r="M25" s="54" t="s">
        <v>34</v>
      </c>
      <c r="P25" s="9"/>
    </row>
    <row r="26" ht="27" customHeight="1" spans="1:16">
      <c r="A26" s="35">
        <v>9</v>
      </c>
      <c r="B26" s="31" t="s">
        <v>53</v>
      </c>
      <c r="C26" s="38"/>
      <c r="D26" s="38"/>
      <c r="E26" s="38"/>
      <c r="F26" s="36">
        <f>G6*4%</f>
        <v>275088.1608</v>
      </c>
      <c r="G26" s="24">
        <f t="shared" si="0"/>
        <v>275088.1608</v>
      </c>
      <c r="H26" s="38"/>
      <c r="I26" s="38"/>
      <c r="J26" s="38"/>
      <c r="K26" s="38"/>
      <c r="L26" s="52">
        <f t="shared" si="1"/>
        <v>0.0333630081896574</v>
      </c>
      <c r="M26" s="54" t="s">
        <v>39</v>
      </c>
      <c r="P26" s="9"/>
    </row>
    <row r="27" ht="27" customHeight="1" spans="1:16">
      <c r="A27" s="35">
        <v>10</v>
      </c>
      <c r="B27" s="31" t="s">
        <v>54</v>
      </c>
      <c r="C27" s="38"/>
      <c r="D27" s="38"/>
      <c r="E27" s="38"/>
      <c r="F27" s="34">
        <f>SUM(F28,F31)</f>
        <v>123378.120754</v>
      </c>
      <c r="G27" s="24">
        <f t="shared" si="0"/>
        <v>123378.120754</v>
      </c>
      <c r="H27" s="38"/>
      <c r="I27" s="38"/>
      <c r="J27" s="38"/>
      <c r="K27" s="38"/>
      <c r="L27" s="52">
        <f t="shared" si="1"/>
        <v>0.0149634402337399</v>
      </c>
      <c r="M27" s="56"/>
      <c r="P27" s="9"/>
    </row>
    <row r="28" ht="38" customHeight="1" spans="1:16">
      <c r="A28" s="35">
        <v>10.1</v>
      </c>
      <c r="B28" s="31" t="s">
        <v>55</v>
      </c>
      <c r="C28" s="38"/>
      <c r="D28" s="38"/>
      <c r="E28" s="38"/>
      <c r="F28" s="34">
        <f>SUM(F29:F30)</f>
        <v>15817.569246</v>
      </c>
      <c r="G28" s="24">
        <f t="shared" si="0"/>
        <v>15817.569246</v>
      </c>
      <c r="H28" s="38"/>
      <c r="I28" s="38"/>
      <c r="J28" s="38"/>
      <c r="K28" s="38"/>
      <c r="L28" s="52">
        <f t="shared" si="1"/>
        <v>0.0019183729709053</v>
      </c>
      <c r="M28" s="54"/>
      <c r="P28" s="9"/>
    </row>
    <row r="29" s="9" customFormat="1" ht="29" customHeight="1" spans="1:13">
      <c r="A29" s="35" t="s">
        <v>56</v>
      </c>
      <c r="B29" s="31" t="s">
        <v>57</v>
      </c>
      <c r="C29" s="38"/>
      <c r="D29" s="38"/>
      <c r="E29" s="38"/>
      <c r="F29" s="24">
        <f>F25*6%</f>
        <v>4126.322412</v>
      </c>
      <c r="G29" s="24">
        <f t="shared" si="0"/>
        <v>4126.322412</v>
      </c>
      <c r="H29" s="38"/>
      <c r="I29" s="38"/>
      <c r="J29" s="38"/>
      <c r="K29" s="38"/>
      <c r="L29" s="52">
        <f t="shared" si="1"/>
        <v>0.000500445122844861</v>
      </c>
      <c r="M29" s="54" t="s">
        <v>58</v>
      </c>
    </row>
    <row r="30" ht="24" customHeight="1" spans="1:16">
      <c r="A30" s="35" t="s">
        <v>59</v>
      </c>
      <c r="B30" s="31" t="s">
        <v>60</v>
      </c>
      <c r="C30" s="38"/>
      <c r="D30" s="38"/>
      <c r="E30" s="38"/>
      <c r="F30" s="24">
        <f>G6*0.17%</f>
        <v>11691.246834</v>
      </c>
      <c r="G30" s="24">
        <f t="shared" si="0"/>
        <v>11691.246834</v>
      </c>
      <c r="H30" s="38"/>
      <c r="I30" s="38"/>
      <c r="J30" s="38"/>
      <c r="K30" s="38"/>
      <c r="L30" s="52">
        <f t="shared" si="1"/>
        <v>0.00141792784806044</v>
      </c>
      <c r="M30" s="54" t="s">
        <v>61</v>
      </c>
      <c r="P30" s="9"/>
    </row>
    <row r="31" ht="26" customHeight="1" spans="1:16">
      <c r="A31" s="35">
        <v>10.2</v>
      </c>
      <c r="B31" s="31" t="s">
        <v>62</v>
      </c>
      <c r="C31" s="38"/>
      <c r="D31" s="38"/>
      <c r="E31" s="38"/>
      <c r="F31" s="34">
        <f>SUM(F32:F35)</f>
        <v>107560.551508</v>
      </c>
      <c r="G31" s="24">
        <f t="shared" si="0"/>
        <v>107560.551508</v>
      </c>
      <c r="H31" s="34"/>
      <c r="I31" s="36"/>
      <c r="J31" s="36"/>
      <c r="K31" s="33"/>
      <c r="L31" s="52">
        <f t="shared" si="1"/>
        <v>0.0130450672628346</v>
      </c>
      <c r="M31" s="54"/>
      <c r="P31" s="9"/>
    </row>
    <row r="32" ht="34" customHeight="1" spans="1:16">
      <c r="A32" s="35" t="s">
        <v>63</v>
      </c>
      <c r="B32" s="31" t="s">
        <v>64</v>
      </c>
      <c r="C32" s="38"/>
      <c r="D32" s="38"/>
      <c r="E32" s="38"/>
      <c r="F32" s="24">
        <f>(5000000*0.13%+(7401215.37-5000000)*0.12%)</f>
        <v>9381.458444</v>
      </c>
      <c r="G32" s="24">
        <f t="shared" si="0"/>
        <v>9381.458444</v>
      </c>
      <c r="H32" s="38"/>
      <c r="I32" s="38"/>
      <c r="J32" s="38"/>
      <c r="K32" s="38"/>
      <c r="L32" s="52">
        <f t="shared" si="1"/>
        <v>0.00113779405841337</v>
      </c>
      <c r="M32" s="54" t="s">
        <v>39</v>
      </c>
      <c r="P32" s="9"/>
    </row>
    <row r="33" ht="26" customHeight="1" spans="1:16">
      <c r="A33" s="35" t="s">
        <v>65</v>
      </c>
      <c r="B33" s="31" t="s">
        <v>66</v>
      </c>
      <c r="C33" s="38"/>
      <c r="D33" s="38"/>
      <c r="E33" s="38"/>
      <c r="F33" s="24">
        <f>(5000000*35+(G6-5000000)*32)/10000*2</f>
        <v>47014.105728</v>
      </c>
      <c r="G33" s="24">
        <f t="shared" si="0"/>
        <v>47014.105728</v>
      </c>
      <c r="H33" s="34"/>
      <c r="I33" s="36"/>
      <c r="J33" s="36"/>
      <c r="K33" s="33"/>
      <c r="L33" s="52">
        <f t="shared" si="1"/>
        <v>0.00570192475703477</v>
      </c>
      <c r="M33" s="54" t="s">
        <v>39</v>
      </c>
      <c r="P33" s="9"/>
    </row>
    <row r="34" ht="27" customHeight="1" spans="1:16">
      <c r="A34" s="35" t="s">
        <v>67</v>
      </c>
      <c r="B34" s="31" t="s">
        <v>68</v>
      </c>
      <c r="C34" s="38"/>
      <c r="D34" s="38"/>
      <c r="E34" s="38"/>
      <c r="F34" s="24">
        <f>(5000000*56+(G6-5000000)*48)/10000</f>
        <v>37010.579296</v>
      </c>
      <c r="G34" s="24">
        <f t="shared" si="0"/>
        <v>37010.579296</v>
      </c>
      <c r="H34" s="34"/>
      <c r="I34" s="36"/>
      <c r="J34" s="36"/>
      <c r="K34" s="33"/>
      <c r="L34" s="52">
        <f t="shared" si="1"/>
        <v>0.00448868557834501</v>
      </c>
      <c r="M34" s="54" t="s">
        <v>39</v>
      </c>
      <c r="P34" s="9"/>
    </row>
    <row r="35" customHeight="1" spans="1:16">
      <c r="A35" s="35" t="s">
        <v>69</v>
      </c>
      <c r="B35" s="31" t="s">
        <v>70</v>
      </c>
      <c r="C35" s="36"/>
      <c r="D35" s="36"/>
      <c r="E35" s="36"/>
      <c r="F35" s="24">
        <f>(0.3+(G6/10000-100)*0.25%)*0.8*10000</f>
        <v>14154.40804</v>
      </c>
      <c r="G35" s="24">
        <f t="shared" si="0"/>
        <v>14154.40804</v>
      </c>
      <c r="H35" s="36"/>
      <c r="I35" s="36"/>
      <c r="J35" s="36"/>
      <c r="K35" s="36"/>
      <c r="L35" s="52">
        <f t="shared" si="1"/>
        <v>0.00171666286904148</v>
      </c>
      <c r="M35" s="54" t="s">
        <v>71</v>
      </c>
      <c r="P35" s="9"/>
    </row>
    <row r="36" customHeight="1" spans="1:16">
      <c r="A36" s="35">
        <v>11</v>
      </c>
      <c r="B36" s="31" t="s">
        <v>72</v>
      </c>
      <c r="C36" s="36"/>
      <c r="D36" s="36"/>
      <c r="E36" s="36"/>
      <c r="F36" s="24">
        <f>G6*0.3%</f>
        <v>20631.61206</v>
      </c>
      <c r="G36" s="24">
        <f t="shared" si="0"/>
        <v>20631.61206</v>
      </c>
      <c r="H36" s="36"/>
      <c r="I36" s="36"/>
      <c r="J36" s="36"/>
      <c r="K36" s="36"/>
      <c r="L36" s="52">
        <f t="shared" si="1"/>
        <v>0.00250222561422431</v>
      </c>
      <c r="M36" s="54" t="s">
        <v>73</v>
      </c>
      <c r="P36" s="9"/>
    </row>
    <row r="37" customHeight="1" spans="1:16">
      <c r="A37" s="35">
        <v>12</v>
      </c>
      <c r="B37" s="31" t="s">
        <v>74</v>
      </c>
      <c r="C37" s="36"/>
      <c r="D37" s="36"/>
      <c r="E37" s="36"/>
      <c r="F37" s="24">
        <f>F38</f>
        <v>68772.0402</v>
      </c>
      <c r="G37" s="24">
        <f t="shared" si="0"/>
        <v>68772.0402</v>
      </c>
      <c r="H37" s="36"/>
      <c r="I37" s="36"/>
      <c r="J37" s="36"/>
      <c r="K37" s="36"/>
      <c r="L37" s="52">
        <f t="shared" si="1"/>
        <v>0.00834075204741435</v>
      </c>
      <c r="M37" s="54"/>
      <c r="P37" s="9"/>
    </row>
    <row r="38" customHeight="1" spans="1:16">
      <c r="A38" s="35">
        <v>12.1</v>
      </c>
      <c r="B38" s="31" t="s">
        <v>75</v>
      </c>
      <c r="C38" s="36"/>
      <c r="D38" s="36"/>
      <c r="E38" s="36"/>
      <c r="F38" s="24">
        <f>G6*1%</f>
        <v>68772.0402</v>
      </c>
      <c r="G38" s="24">
        <f t="shared" si="0"/>
        <v>68772.0402</v>
      </c>
      <c r="H38" s="36"/>
      <c r="I38" s="36"/>
      <c r="J38" s="36"/>
      <c r="K38" s="36"/>
      <c r="L38" s="52">
        <f t="shared" si="1"/>
        <v>0.00834075204741435</v>
      </c>
      <c r="M38" s="54" t="s">
        <v>34</v>
      </c>
      <c r="P38" s="9"/>
    </row>
    <row r="39" s="9" customFormat="1" customHeight="1" spans="1:13">
      <c r="A39" s="40" t="s">
        <v>76</v>
      </c>
      <c r="B39" s="41" t="s">
        <v>77</v>
      </c>
      <c r="C39" s="29"/>
      <c r="D39" s="29"/>
      <c r="E39" s="29"/>
      <c r="F39" s="21">
        <f>SUM(F40)</f>
        <v>392633.5465347</v>
      </c>
      <c r="G39" s="21">
        <f t="shared" si="0"/>
        <v>392633.5465347</v>
      </c>
      <c r="H39" s="22" t="s">
        <v>21</v>
      </c>
      <c r="I39" s="29" t="s">
        <v>22</v>
      </c>
      <c r="J39" s="29">
        <f>332.043+1775.389</f>
        <v>2107.432</v>
      </c>
      <c r="K39" s="28">
        <f>G39/J39</f>
        <v>186.308999073137</v>
      </c>
      <c r="L39" s="50">
        <f t="shared" ref="L39:L44" si="2">G39/$G$44</f>
        <v>0.0476190476190476</v>
      </c>
      <c r="M39" s="57"/>
    </row>
    <row r="40" customHeight="1" spans="1:16">
      <c r="A40" s="42">
        <v>1</v>
      </c>
      <c r="B40" s="31" t="s">
        <v>78</v>
      </c>
      <c r="C40" s="36"/>
      <c r="D40" s="36"/>
      <c r="E40" s="36"/>
      <c r="F40" s="34">
        <f>SUM(G6,G8)*5%</f>
        <v>392633.5465347</v>
      </c>
      <c r="G40" s="24">
        <f t="shared" si="0"/>
        <v>392633.5465347</v>
      </c>
      <c r="H40" s="36"/>
      <c r="I40" s="36"/>
      <c r="J40" s="36"/>
      <c r="K40" s="36"/>
      <c r="L40" s="52">
        <f t="shared" si="2"/>
        <v>0.0476190476190476</v>
      </c>
      <c r="M40" s="55" t="s">
        <v>79</v>
      </c>
      <c r="P40" s="9"/>
    </row>
    <row r="41" s="9" customFormat="1" customHeight="1" spans="1:13">
      <c r="A41" s="41" t="s">
        <v>80</v>
      </c>
      <c r="B41" s="41" t="s">
        <v>81</v>
      </c>
      <c r="C41" s="29"/>
      <c r="D41" s="29"/>
      <c r="E41" s="29"/>
      <c r="F41" s="21">
        <v>0</v>
      </c>
      <c r="G41" s="21">
        <f t="shared" si="0"/>
        <v>0</v>
      </c>
      <c r="H41" s="29"/>
      <c r="I41" s="29"/>
      <c r="J41" s="29"/>
      <c r="K41" s="29"/>
      <c r="L41" s="50">
        <f t="shared" si="2"/>
        <v>0</v>
      </c>
      <c r="M41" s="57"/>
    </row>
    <row r="42" customHeight="1" spans="1:16">
      <c r="A42" s="30" t="s">
        <v>27</v>
      </c>
      <c r="B42" s="31" t="s">
        <v>82</v>
      </c>
      <c r="C42" s="36"/>
      <c r="D42" s="36"/>
      <c r="E42" s="36"/>
      <c r="F42" s="24">
        <v>0</v>
      </c>
      <c r="G42" s="24">
        <f t="shared" si="0"/>
        <v>0</v>
      </c>
      <c r="H42" s="36"/>
      <c r="I42" s="36"/>
      <c r="J42" s="36"/>
      <c r="K42" s="36"/>
      <c r="L42" s="52">
        <f t="shared" si="2"/>
        <v>0</v>
      </c>
      <c r="M42" s="58" t="s">
        <v>83</v>
      </c>
      <c r="P42" s="9"/>
    </row>
    <row r="43" customHeight="1" spans="1:16">
      <c r="A43" s="30" t="s">
        <v>31</v>
      </c>
      <c r="B43" s="31" t="s">
        <v>84</v>
      </c>
      <c r="C43" s="36"/>
      <c r="D43" s="36"/>
      <c r="E43" s="36"/>
      <c r="F43" s="24">
        <v>0</v>
      </c>
      <c r="G43" s="24">
        <f t="shared" si="0"/>
        <v>0</v>
      </c>
      <c r="H43" s="36"/>
      <c r="I43" s="36"/>
      <c r="J43" s="36"/>
      <c r="K43" s="36"/>
      <c r="L43" s="52">
        <f t="shared" si="2"/>
        <v>0</v>
      </c>
      <c r="M43" s="55"/>
      <c r="P43" s="9"/>
    </row>
    <row r="44" s="9" customFormat="1" customHeight="1" spans="1:13">
      <c r="A44" s="43" t="s">
        <v>85</v>
      </c>
      <c r="B44" s="44" t="s">
        <v>86</v>
      </c>
      <c r="C44" s="29">
        <f>C6</f>
        <v>6102426.02</v>
      </c>
      <c r="D44" s="29">
        <f>D6</f>
        <v>774778</v>
      </c>
      <c r="E44" s="29">
        <v>0</v>
      </c>
      <c r="F44" s="29">
        <f>F8+F39</f>
        <v>1368100.4572287</v>
      </c>
      <c r="G44" s="29">
        <f>G6+G8+G39+G41</f>
        <v>8245304.4772287</v>
      </c>
      <c r="H44" s="22" t="s">
        <v>21</v>
      </c>
      <c r="I44" s="29" t="s">
        <v>22</v>
      </c>
      <c r="J44" s="29">
        <f>332.043+1775.389</f>
        <v>2107.432</v>
      </c>
      <c r="K44" s="28">
        <f>G44/J44</f>
        <v>3912.48898053588</v>
      </c>
      <c r="L44" s="50">
        <f t="shared" si="2"/>
        <v>1</v>
      </c>
      <c r="M44" s="57"/>
    </row>
  </sheetData>
  <mergeCells count="8">
    <mergeCell ref="A2:M2"/>
    <mergeCell ref="A3:M3"/>
    <mergeCell ref="C4:G4"/>
    <mergeCell ref="H4:K4"/>
    <mergeCell ref="A4:A5"/>
    <mergeCell ref="B4:B5"/>
    <mergeCell ref="L4:L5"/>
    <mergeCell ref="M4:M5"/>
  </mergeCells>
  <printOptions horizontalCentered="1"/>
  <pageMargins left="0.393055555555556" right="0.393055555555556" top="0.511805555555556" bottom="0.511805555555556" header="0.314583333333333" footer="0.314583333333333"/>
  <pageSetup paperSize="9" scale="9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8"/>
  <sheetViews>
    <sheetView workbookViewId="0">
      <selection activeCell="C3" sqref="C3:H8"/>
    </sheetView>
  </sheetViews>
  <sheetFormatPr defaultColWidth="8.8" defaultRowHeight="14.25" outlineLevelRow="7" outlineLevelCol="7"/>
  <cols>
    <col min="5" max="7" width="9.9"/>
    <col min="8" max="8" width="16.5"/>
  </cols>
  <sheetData>
    <row r="2" ht="15"/>
    <row r="3" ht="75.75" spans="3:8">
      <c r="C3" s="4" t="s">
        <v>3</v>
      </c>
      <c r="D3" s="4" t="s">
        <v>87</v>
      </c>
      <c r="E3" s="4" t="s">
        <v>88</v>
      </c>
      <c r="F3" s="4" t="s">
        <v>89</v>
      </c>
      <c r="G3" s="4" t="s">
        <v>90</v>
      </c>
      <c r="H3" s="4" t="s">
        <v>91</v>
      </c>
    </row>
    <row r="4" ht="38.25" spans="3:8">
      <c r="C4" s="5">
        <v>1</v>
      </c>
      <c r="D4" s="5" t="s">
        <v>20</v>
      </c>
      <c r="E4" s="5" t="e">
        <f>#REF!</f>
        <v>#REF!</v>
      </c>
      <c r="F4" s="5" t="e">
        <f>#REF!</f>
        <v>#REF!</v>
      </c>
      <c r="G4" s="5" t="e">
        <f>F4-E4</f>
        <v>#REF!</v>
      </c>
      <c r="H4" s="6" t="e">
        <f>G4/E4</f>
        <v>#REF!</v>
      </c>
    </row>
    <row r="5" ht="19.5" spans="3:8">
      <c r="C5" s="5">
        <v>2</v>
      </c>
      <c r="D5" s="5" t="s">
        <v>92</v>
      </c>
      <c r="E5" s="5" t="e">
        <f>#REF!</f>
        <v>#REF!</v>
      </c>
      <c r="F5" s="5" t="e">
        <f>#REF!</f>
        <v>#REF!</v>
      </c>
      <c r="G5" s="5" t="e">
        <f>F5-E5</f>
        <v>#REF!</v>
      </c>
      <c r="H5" s="6" t="e">
        <f>G5/E5</f>
        <v>#REF!</v>
      </c>
    </row>
    <row r="6" ht="19.5" spans="3:8">
      <c r="C6" s="5">
        <v>3</v>
      </c>
      <c r="D6" s="5" t="s">
        <v>77</v>
      </c>
      <c r="E6" s="5" t="e">
        <f>#REF!</f>
        <v>#REF!</v>
      </c>
      <c r="F6" s="5" t="e">
        <f>#REF!</f>
        <v>#REF!</v>
      </c>
      <c r="G6" s="5" t="e">
        <f>F6-E6</f>
        <v>#REF!</v>
      </c>
      <c r="H6" s="6" t="e">
        <f>G6/E6</f>
        <v>#REF!</v>
      </c>
    </row>
    <row r="7" ht="38.25" spans="3:8">
      <c r="C7" s="5">
        <v>4</v>
      </c>
      <c r="D7" s="5" t="s">
        <v>93</v>
      </c>
      <c r="E7" s="7" t="e">
        <f>#REF!</f>
        <v>#REF!</v>
      </c>
      <c r="F7" s="7" t="e">
        <f>#REF!</f>
        <v>#REF!</v>
      </c>
      <c r="G7" s="5" t="e">
        <f>F7-E7</f>
        <v>#REF!</v>
      </c>
      <c r="H7" s="6" t="e">
        <f>G7/E7</f>
        <v>#REF!</v>
      </c>
    </row>
    <row r="8" ht="19.5" spans="3:8">
      <c r="C8" s="5">
        <v>5</v>
      </c>
      <c r="D8" s="5" t="s">
        <v>14</v>
      </c>
      <c r="E8" s="7" t="e">
        <f>#REF!</f>
        <v>#REF!</v>
      </c>
      <c r="F8" s="7" t="e">
        <f>#REF!</f>
        <v>#REF!</v>
      </c>
      <c r="G8" s="5" t="e">
        <f>F8-E8</f>
        <v>#REF!</v>
      </c>
      <c r="H8" s="6" t="e">
        <f>G8/E8</f>
        <v>#REF!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H10"/>
  <sheetViews>
    <sheetView workbookViewId="0">
      <selection activeCell="C6" sqref="C6:H10"/>
    </sheetView>
  </sheetViews>
  <sheetFormatPr defaultColWidth="8.8" defaultRowHeight="14.25" outlineLevelCol="7"/>
  <cols>
    <col min="5" max="5" width="15.2"/>
  </cols>
  <sheetData>
    <row r="4" ht="15"/>
    <row r="5" ht="38.25" spans="3:8">
      <c r="C5" s="1" t="s">
        <v>3</v>
      </c>
      <c r="D5" s="1" t="s">
        <v>87</v>
      </c>
      <c r="E5" s="1" t="s">
        <v>88</v>
      </c>
      <c r="F5" s="1" t="s">
        <v>89</v>
      </c>
      <c r="G5" s="1" t="s">
        <v>94</v>
      </c>
      <c r="H5" s="1" t="s">
        <v>95</v>
      </c>
    </row>
    <row r="6" ht="38.25" spans="3:8">
      <c r="C6" s="2">
        <v>1</v>
      </c>
      <c r="D6" s="2" t="s">
        <v>20</v>
      </c>
      <c r="E6" s="2" t="e">
        <f>#REF!</f>
        <v>#REF!</v>
      </c>
      <c r="F6" s="2" t="e">
        <f>#REF!</f>
        <v>#REF!</v>
      </c>
      <c r="G6" s="2" t="e">
        <f t="shared" ref="G6:G10" si="0">F6-E6</f>
        <v>#REF!</v>
      </c>
      <c r="H6" s="3" t="e">
        <f t="shared" ref="H6:H8" si="1">G6/E6</f>
        <v>#REF!</v>
      </c>
    </row>
    <row r="7" ht="38.25" spans="3:8">
      <c r="C7" s="2">
        <v>2</v>
      </c>
      <c r="D7" s="2" t="s">
        <v>96</v>
      </c>
      <c r="E7" s="2">
        <v>272.7</v>
      </c>
      <c r="F7" s="2" t="e">
        <f>#REF!</f>
        <v>#REF!</v>
      </c>
      <c r="G7" s="2" t="e">
        <f t="shared" si="0"/>
        <v>#REF!</v>
      </c>
      <c r="H7" s="3" t="e">
        <f t="shared" si="1"/>
        <v>#REF!</v>
      </c>
    </row>
    <row r="8" ht="19.5" spans="3:8">
      <c r="C8" s="2">
        <v>3</v>
      </c>
      <c r="D8" s="2" t="s">
        <v>77</v>
      </c>
      <c r="E8" s="2" t="e">
        <f>#REF!</f>
        <v>#REF!</v>
      </c>
      <c r="F8" s="2" t="e">
        <f>#REF!</f>
        <v>#REF!</v>
      </c>
      <c r="G8" s="2" t="e">
        <f t="shared" si="0"/>
        <v>#REF!</v>
      </c>
      <c r="H8" s="3" t="e">
        <f t="shared" si="1"/>
        <v>#REF!</v>
      </c>
    </row>
    <row r="9" ht="38.25" spans="3:8">
      <c r="C9" s="2">
        <v>4</v>
      </c>
      <c r="D9" s="2" t="s">
        <v>81</v>
      </c>
      <c r="E9" s="2">
        <v>0</v>
      </c>
      <c r="F9" s="2">
        <v>0</v>
      </c>
      <c r="G9" s="2">
        <v>0</v>
      </c>
      <c r="H9" s="2" t="s">
        <v>97</v>
      </c>
    </row>
    <row r="10" ht="19.5" spans="3:8">
      <c r="C10" s="2">
        <v>5</v>
      </c>
      <c r="D10" s="2" t="s">
        <v>14</v>
      </c>
      <c r="E10" s="2">
        <v>3425.64</v>
      </c>
      <c r="F10" s="2" t="e">
        <f>#REF!</f>
        <v>#REF!</v>
      </c>
      <c r="G10" s="2" t="e">
        <f t="shared" si="0"/>
        <v>#REF!</v>
      </c>
      <c r="H10" s="3" t="e">
        <f>G10/E10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敏敏</dc:creator>
  <cp:lastModifiedBy>Administrator</cp:lastModifiedBy>
  <dcterms:created xsi:type="dcterms:W3CDTF">2005-03-07T01:33:00Z</dcterms:created>
  <cp:lastPrinted>2018-04-28T04:38:00Z</cp:lastPrinted>
  <dcterms:modified xsi:type="dcterms:W3CDTF">2023-05-04T01:27:26Z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EC51D09E955144E09DD26C2575447848_13</vt:lpwstr>
  </property>
  <property fmtid="{D5CDD505-2E9C-101B-9397-08002B2CF9AE}" pid="4" name="commondata">
    <vt:lpwstr>eyJoZGlkIjoiMDY2NWRkNmQwYzkwNzIzYmUyNzVlYzgzZmViOWJiZWUifQ==</vt:lpwstr>
  </property>
  <property fmtid="{D5CDD505-2E9C-101B-9397-08002B2CF9AE}" pid="5" name="KSOReadingLayout">
    <vt:bool>true</vt:bool>
  </property>
</Properties>
</file>