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汇总表" sheetId="1" r:id="rId1"/>
    <sheet name="对比" sheetId="3" state="hidden" r:id="rId2"/>
    <sheet name="Sheet3" sheetId="6" state="hidden" r:id="rId3"/>
    <sheet name="Sheet1" sheetId="5" state="hidden" r:id="rId4"/>
    <sheet name="Sheet2" sheetId="4" state="hidden" r:id="rId5"/>
  </sheets>
  <definedNames>
    <definedName name="_xlnm._FilterDatabase" localSheetId="0" hidden="1">汇总表!$A$5:$Q$36</definedName>
    <definedName name="_xlnm.Print_Titles" localSheetId="0">汇总表!$2:$5</definedName>
    <definedName name="_xlnm.Print_Area" localSheetId="0">汇总表!$A$1:$H$36</definedName>
  </definedNames>
  <calcPr calcId="144525" concurrentCalc="0"/>
</workbook>
</file>

<file path=xl/sharedStrings.xml><?xml version="1.0" encoding="utf-8"?>
<sst xmlns="http://schemas.openxmlformats.org/spreadsheetml/2006/main" count="226" uniqueCount="92">
  <si>
    <t>附件1</t>
  </si>
  <si>
    <t>概算汇总表</t>
  </si>
  <si>
    <t xml:space="preserve">工程名称：龙石镇污水处理厂扩容提标工程                                                            金额单位：万元 </t>
  </si>
  <si>
    <t>序号</t>
  </si>
  <si>
    <t>工程或费用名称</t>
  </si>
  <si>
    <t>概算造价</t>
  </si>
  <si>
    <t/>
  </si>
  <si>
    <t>占总投资额
（%）</t>
  </si>
  <si>
    <t>备注</t>
  </si>
  <si>
    <t>建筑
工程费</t>
  </si>
  <si>
    <t>安装工程费</t>
  </si>
  <si>
    <t>其他项目费</t>
  </si>
  <si>
    <t>合计</t>
  </si>
  <si>
    <t>一</t>
  </si>
  <si>
    <t>工程费用</t>
  </si>
  <si>
    <t>1.1</t>
  </si>
  <si>
    <t>大足区龙石镇污水处理厂扩容提标工程</t>
  </si>
  <si>
    <t>1.1.1</t>
  </si>
  <si>
    <t>设备房</t>
  </si>
  <si>
    <t>1.1.2</t>
  </si>
  <si>
    <t>调节池、污泥脱水间</t>
  </si>
  <si>
    <t>1.1.3</t>
  </si>
  <si>
    <t>组合池</t>
  </si>
  <si>
    <t>1.1.4</t>
  </si>
  <si>
    <t>滤布滤池、消毒池、出水渠</t>
  </si>
  <si>
    <t>1.1.5</t>
  </si>
  <si>
    <t>拆除工程</t>
  </si>
  <si>
    <t>1.1.6</t>
  </si>
  <si>
    <t>工艺设备</t>
  </si>
  <si>
    <t>1.1.7</t>
  </si>
  <si>
    <t>电气工程</t>
  </si>
  <si>
    <t>1.1.8</t>
  </si>
  <si>
    <t>道路、绿化工程</t>
  </si>
  <si>
    <t>二</t>
  </si>
  <si>
    <t>工程建设其他费用</t>
  </si>
  <si>
    <t>（一）+（二）</t>
  </si>
  <si>
    <t>（一）</t>
  </si>
  <si>
    <t>与项目建设有关的其他费用</t>
  </si>
  <si>
    <t>建设单位管理费</t>
  </si>
  <si>
    <t>按照2021概算编规计取</t>
  </si>
  <si>
    <t>工程勘察费</t>
  </si>
  <si>
    <t>已有合同约定</t>
  </si>
  <si>
    <t>项目论证费</t>
  </si>
  <si>
    <t>工程设计费</t>
  </si>
  <si>
    <t>施工图审查费</t>
  </si>
  <si>
    <t>按渝价[2013]423号文计取</t>
  </si>
  <si>
    <t>招投标代理费</t>
  </si>
  <si>
    <t>工程招投标交易服务费</t>
  </si>
  <si>
    <t>按渝价[2016]232号文计列</t>
  </si>
  <si>
    <t>工程建设保险费</t>
  </si>
  <si>
    <t>环境评价费</t>
  </si>
  <si>
    <t>工程建设监理费</t>
  </si>
  <si>
    <t>场地准备及临时设施费</t>
  </si>
  <si>
    <t>工程造价咨询费</t>
  </si>
  <si>
    <t>12.1</t>
  </si>
  <si>
    <t>工程量清单及组价编制、审核费</t>
  </si>
  <si>
    <t>按渝价[2013]428号文计取</t>
  </si>
  <si>
    <t>12.2</t>
  </si>
  <si>
    <t>工程量清单结算审核费</t>
  </si>
  <si>
    <t>13</t>
  </si>
  <si>
    <t>迁电费用</t>
  </si>
  <si>
    <t>暂定</t>
  </si>
  <si>
    <t>14</t>
  </si>
  <si>
    <t>安全生产保障费</t>
  </si>
  <si>
    <t>按工程建安费*0.5%计取</t>
  </si>
  <si>
    <t>三</t>
  </si>
  <si>
    <t>预备费用</t>
  </si>
  <si>
    <t>基本预备费</t>
  </si>
  <si>
    <t>（一+二-土地费用）*5%</t>
  </si>
  <si>
    <t>四</t>
  </si>
  <si>
    <t>建设项目总概算</t>
  </si>
  <si>
    <t>投资概算对比表</t>
  </si>
  <si>
    <t xml:space="preserve">工程名称：龙石镇污水处理厂扩容提标工程                                                                                           金额单位：万元                                                                       </t>
  </si>
  <si>
    <t>单位</t>
  </si>
  <si>
    <t>概算送审造价</t>
  </si>
  <si>
    <t>概算审核造价</t>
  </si>
  <si>
    <t>调整值</t>
  </si>
  <si>
    <t>建筑工程费</t>
  </si>
  <si>
    <t>工程费</t>
  </si>
  <si>
    <t>万元</t>
  </si>
  <si>
    <t>项目名称</t>
  </si>
  <si>
    <t>送审金额</t>
  </si>
  <si>
    <t>审定金额</t>
  </si>
  <si>
    <t>审增、减金额</t>
  </si>
  <si>
    <t>审增、减率</t>
  </si>
  <si>
    <t>工程其他费用</t>
  </si>
  <si>
    <t>预备费</t>
  </si>
  <si>
    <t>审核金额</t>
  </si>
  <si>
    <t>审增、减（+/-）金额</t>
  </si>
  <si>
    <t>审增、减（+/-）率</t>
  </si>
  <si>
    <t>专项费用</t>
  </si>
  <si>
    <t>/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</si>
</sst>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71">
    <font>
      <sz val="12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name val="Times New Roman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8"/>
      <name val="宋体"/>
      <charset val="134"/>
    </font>
    <font>
      <sz val="10"/>
      <color indexed="0"/>
      <name val="宋体"/>
      <charset val="134"/>
    </font>
    <font>
      <sz val="10"/>
      <color indexed="0"/>
      <name val="方正黑体_GBK"/>
      <charset val="134"/>
    </font>
    <font>
      <sz val="10"/>
      <color theme="1"/>
      <name val="方正黑体_GBK"/>
      <charset val="134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color indexed="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仿宋_GB2312"/>
      <charset val="134"/>
    </font>
    <font>
      <b/>
      <sz val="10"/>
      <color theme="1"/>
      <name val="仿宋_GB2312"/>
      <charset val="134"/>
    </font>
    <font>
      <sz val="9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方正黑体_GBK"/>
      <charset val="134"/>
    </font>
    <font>
      <sz val="9"/>
      <color indexed="0"/>
      <name val="宋体"/>
      <charset val="134"/>
    </font>
    <font>
      <sz val="11"/>
      <name val="宋体"/>
      <charset val="134"/>
    </font>
    <font>
      <b/>
      <sz val="20"/>
      <color indexed="0"/>
      <name val="宋体"/>
      <charset val="134"/>
    </font>
    <font>
      <b/>
      <sz val="9"/>
      <color indexed="0"/>
      <name val="宋体"/>
      <charset val="134"/>
    </font>
    <font>
      <b/>
      <sz val="12"/>
      <color theme="1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color theme="1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9"/>
      </right>
      <top/>
      <bottom/>
      <diagonal/>
    </border>
    <border>
      <left style="thin">
        <color theme="2" tint="-0.75"/>
      </left>
      <right style="thin">
        <color theme="2" tint="-0.75"/>
      </right>
      <top style="thin">
        <color theme="2" tint="-0.75"/>
      </top>
      <bottom style="thin">
        <color theme="2" tint="-0.7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6" borderId="1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6" fillId="8" borderId="12" applyNumberForma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11" borderId="13" applyNumberFormat="0" applyFont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48" fillId="15" borderId="16" applyNumberFormat="0" applyAlignment="0" applyProtection="0">
      <alignment vertical="center"/>
    </xf>
    <xf numFmtId="0" fontId="49" fillId="15" borderId="11" applyNumberFormat="0" applyAlignment="0" applyProtection="0">
      <alignment vertical="center"/>
    </xf>
    <xf numFmtId="0" fontId="50" fillId="16" borderId="17" applyNumberFormat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51" fillId="0" borderId="18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55" fillId="8" borderId="20" applyNumberFormat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56" fillId="48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47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0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59" fillId="0" borderId="22" applyNumberFormat="0" applyFill="0" applyAlignment="0" applyProtection="0">
      <alignment vertical="center"/>
    </xf>
    <xf numFmtId="0" fontId="60" fillId="0" borderId="23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0" fillId="0" borderId="0"/>
    <xf numFmtId="0" fontId="63" fillId="44" borderId="0" applyNumberFormat="0" applyBorder="0" applyAlignment="0" applyProtection="0">
      <alignment vertical="center"/>
    </xf>
    <xf numFmtId="0" fontId="64" fillId="0" borderId="24" applyNumberFormat="0" applyFill="0" applyAlignment="0" applyProtection="0">
      <alignment vertical="center"/>
    </xf>
    <xf numFmtId="0" fontId="65" fillId="51" borderId="25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56" fillId="53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49" borderId="0" applyNumberFormat="0" applyBorder="0" applyAlignment="0" applyProtection="0">
      <alignment vertical="center"/>
    </xf>
    <xf numFmtId="0" fontId="56" fillId="55" borderId="0" applyNumberFormat="0" applyBorder="0" applyAlignment="0" applyProtection="0">
      <alignment vertical="center"/>
    </xf>
    <xf numFmtId="0" fontId="69" fillId="46" borderId="12" applyNumberFormat="0" applyAlignment="0" applyProtection="0">
      <alignment vertical="center"/>
    </xf>
    <xf numFmtId="0" fontId="0" fillId="56" borderId="27" applyNumberFormat="0" applyFont="0" applyAlignment="0" applyProtection="0">
      <alignment vertical="center"/>
    </xf>
    <xf numFmtId="0" fontId="0" fillId="0" borderId="0"/>
    <xf numFmtId="0" fontId="70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2" xfId="1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0" fontId="3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right" vertical="top" wrapText="1"/>
    </xf>
    <xf numFmtId="0" fontId="0" fillId="0" borderId="0" xfId="0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righ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177" fontId="12" fillId="0" borderId="4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right" vertical="center" wrapText="1"/>
    </xf>
    <xf numFmtId="0" fontId="14" fillId="2" borderId="5" xfId="93" applyFont="1" applyFill="1" applyBorder="1" applyAlignment="1">
      <alignment horizontal="center" vertical="center" wrapText="1"/>
    </xf>
    <xf numFmtId="0" fontId="14" fillId="2" borderId="6" xfId="93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177" fontId="16" fillId="0" borderId="7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177" fontId="16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176" fontId="19" fillId="0" borderId="4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4" xfId="22" applyNumberFormat="1" applyFont="1" applyBorder="1" applyAlignment="1">
      <alignment horizontal="left" vertical="center" wrapText="1"/>
    </xf>
    <xf numFmtId="177" fontId="12" fillId="0" borderId="7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4" xfId="22" applyNumberFormat="1" applyFont="1" applyFill="1" applyBorder="1" applyAlignment="1">
      <alignment horizontal="left" vertical="center" wrapText="1"/>
    </xf>
    <xf numFmtId="0" fontId="16" fillId="0" borderId="4" xfId="22" applyNumberFormat="1" applyFont="1" applyBorder="1" applyAlignment="1">
      <alignment horizontal="left" vertical="center" wrapText="1"/>
    </xf>
    <xf numFmtId="177" fontId="16" fillId="0" borderId="8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2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49" fontId="24" fillId="0" borderId="4" xfId="0" applyNumberFormat="1" applyFont="1" applyFill="1" applyBorder="1" applyAlignment="1">
      <alignment horizontal="left" vertical="center" wrapText="1"/>
    </xf>
    <xf numFmtId="0" fontId="25" fillId="3" borderId="0" xfId="77" applyFont="1" applyFill="1" applyAlignment="1"/>
    <xf numFmtId="176" fontId="11" fillId="0" borderId="4" xfId="0" applyNumberFormat="1" applyFont="1" applyFill="1" applyBorder="1" applyAlignment="1">
      <alignment horizontal="right" vertical="center" wrapText="1"/>
    </xf>
    <xf numFmtId="176" fontId="15" fillId="0" borderId="4" xfId="0" applyNumberFormat="1" applyFont="1" applyFill="1" applyBorder="1" applyAlignment="1">
      <alignment horizontal="right" vertical="center" wrapText="1"/>
    </xf>
    <xf numFmtId="176" fontId="14" fillId="0" borderId="4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0" fillId="0" borderId="0" xfId="0" applyFill="1" applyAlignment="1">
      <alignment horizontal="right" wrapText="1"/>
    </xf>
    <xf numFmtId="0" fontId="0" fillId="0" borderId="0" xfId="0" applyFill="1" applyAlignment="1">
      <alignment horizontal="center" wrapText="1"/>
    </xf>
    <xf numFmtId="176" fontId="0" fillId="0" borderId="0" xfId="0" applyNumberFormat="1" applyFill="1" applyAlignment="1">
      <alignment horizontal="right" wrapText="1"/>
    </xf>
    <xf numFmtId="0" fontId="14" fillId="0" borderId="0" xfId="0" applyFont="1" applyFill="1" applyAlignment="1">
      <alignment horizontal="left" vertical="center" shrinkToFit="1"/>
    </xf>
    <xf numFmtId="0" fontId="26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176" fontId="26" fillId="0" borderId="0" xfId="0" applyNumberFormat="1" applyFont="1" applyFill="1" applyAlignment="1">
      <alignment horizontal="center" vertical="center" wrapText="1"/>
    </xf>
    <xf numFmtId="0" fontId="27" fillId="0" borderId="9" xfId="0" applyFont="1" applyFill="1" applyBorder="1" applyAlignment="1">
      <alignment horizontal="left" vertical="center" shrinkToFi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28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76" fontId="12" fillId="0" borderId="10" xfId="0" applyNumberFormat="1" applyFont="1" applyFill="1" applyBorder="1" applyAlignment="1" applyProtection="1">
      <alignment horizontal="center" vertical="center"/>
      <protection locked="0"/>
    </xf>
    <xf numFmtId="10" fontId="13" fillId="0" borderId="4" xfId="0" applyNumberFormat="1" applyFont="1" applyFill="1" applyBorder="1" applyAlignment="1">
      <alignment horizontal="right" vertical="center" wrapText="1"/>
    </xf>
    <xf numFmtId="0" fontId="29" fillId="0" borderId="4" xfId="0" applyFont="1" applyFill="1" applyBorder="1" applyAlignment="1">
      <alignment horizontal="left" vertical="center" shrinkToFit="1"/>
    </xf>
    <xf numFmtId="176" fontId="16" fillId="0" borderId="4" xfId="0" applyNumberFormat="1" applyFont="1" applyFill="1" applyBorder="1" applyAlignment="1" applyProtection="1">
      <alignment horizontal="center" vertical="center"/>
      <protection locked="0"/>
    </xf>
    <xf numFmtId="176" fontId="16" fillId="0" borderId="10" xfId="0" applyNumberFormat="1" applyFont="1" applyFill="1" applyBorder="1" applyAlignment="1" applyProtection="1">
      <alignment horizontal="center" vertical="center"/>
      <protection locked="0"/>
    </xf>
    <xf numFmtId="10" fontId="7" fillId="0" borderId="4" xfId="0" applyNumberFormat="1" applyFont="1" applyFill="1" applyBorder="1" applyAlignment="1">
      <alignment horizontal="right" vertical="center" wrapText="1"/>
    </xf>
    <xf numFmtId="0" fontId="30" fillId="0" borderId="4" xfId="0" applyFont="1" applyFill="1" applyBorder="1" applyAlignment="1">
      <alignment horizontal="left" vertical="center" shrinkToFit="1"/>
    </xf>
    <xf numFmtId="176" fontId="31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蔡家组团L、R标准分区道路工程横二路R区段概算总表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好 2" xfId="78"/>
    <cellStyle name="汇总 2" xfId="79"/>
    <cellStyle name="检查单元格 2" xfId="80"/>
    <cellStyle name="解释性文本 2" xfId="81"/>
    <cellStyle name="警告文本 2" xfId="82"/>
    <cellStyle name="链接单元格 2" xfId="83"/>
    <cellStyle name="强调文字颜色 1 2" xfId="84"/>
    <cellStyle name="强调文字颜色 2 2" xfId="85"/>
    <cellStyle name="强调文字颜色 3 2" xfId="86"/>
    <cellStyle name="强调文字颜色 4 2" xfId="87"/>
    <cellStyle name="强调文字颜色 5 2" xfId="88"/>
    <cellStyle name="强调文字颜色 6 2" xfId="89"/>
    <cellStyle name="输入 2" xfId="90"/>
    <cellStyle name="注释 2" xfId="91"/>
    <cellStyle name="常规_造价对比分析表" xfId="92"/>
    <cellStyle name="Normal" xfId="93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view="pageBreakPreview" zoomScaleNormal="100" workbookViewId="0">
      <pane ySplit="6" topLeftCell="A9" activePane="bottomLeft" state="frozen"/>
      <selection/>
      <selection pane="bottomLeft" activeCell="E34" sqref="E34"/>
    </sheetView>
  </sheetViews>
  <sheetFormatPr defaultColWidth="9" defaultRowHeight="18.75" customHeight="1" outlineLevelCol="7"/>
  <cols>
    <col min="1" max="1" width="7" style="12" customWidth="1"/>
    <col min="2" max="2" width="18.375" style="70" customWidth="1"/>
    <col min="3" max="3" width="12.625" style="71" customWidth="1"/>
    <col min="4" max="4" width="11.5" style="71" customWidth="1"/>
    <col min="5" max="5" width="12.625" style="72" customWidth="1"/>
    <col min="6" max="6" width="12.625" style="73" customWidth="1"/>
    <col min="7" max="7" width="9.25" style="71" customWidth="1"/>
    <col min="8" max="8" width="19.6" style="74" customWidth="1"/>
    <col min="9" max="10" width="9" style="12"/>
    <col min="11" max="11" width="11.5" style="12"/>
    <col min="12" max="12" width="12.625" style="12"/>
    <col min="13" max="16" width="9" style="12"/>
    <col min="17" max="17" width="12.625" style="12"/>
    <col min="18" max="16384" width="9" style="12"/>
  </cols>
  <sheetData>
    <row r="1" customHeight="1" spans="1:1">
      <c r="A1" s="12" t="s">
        <v>0</v>
      </c>
    </row>
    <row r="2" ht="21" customHeight="1" spans="1:8">
      <c r="A2" s="75" t="s">
        <v>1</v>
      </c>
      <c r="B2" s="76"/>
      <c r="C2" s="75"/>
      <c r="D2" s="75"/>
      <c r="E2" s="75"/>
      <c r="F2" s="77"/>
      <c r="G2" s="75"/>
      <c r="H2" s="78"/>
    </row>
    <row r="3" ht="22" customHeight="1" spans="1:8">
      <c r="A3" s="79" t="s">
        <v>2</v>
      </c>
      <c r="B3" s="79"/>
      <c r="C3" s="79"/>
      <c r="D3" s="79"/>
      <c r="E3" s="80"/>
      <c r="F3" s="81"/>
      <c r="G3" s="79"/>
      <c r="H3" s="82"/>
    </row>
    <row r="4" s="69" customFormat="1" ht="30" customHeight="1" spans="1:8">
      <c r="A4" s="80" t="s">
        <v>3</v>
      </c>
      <c r="B4" s="79" t="s">
        <v>4</v>
      </c>
      <c r="C4" s="80" t="s">
        <v>5</v>
      </c>
      <c r="D4" s="80" t="s">
        <v>6</v>
      </c>
      <c r="E4" s="80"/>
      <c r="F4" s="41" t="s">
        <v>6</v>
      </c>
      <c r="G4" s="80" t="s">
        <v>7</v>
      </c>
      <c r="H4" s="83" t="s">
        <v>8</v>
      </c>
    </row>
    <row r="5" s="69" customFormat="1" ht="30" customHeight="1" spans="1:8">
      <c r="A5" s="80" t="s">
        <v>6</v>
      </c>
      <c r="B5" s="79" t="s">
        <v>6</v>
      </c>
      <c r="C5" s="80" t="s">
        <v>9</v>
      </c>
      <c r="D5" s="80" t="s">
        <v>10</v>
      </c>
      <c r="E5" s="80" t="s">
        <v>11</v>
      </c>
      <c r="F5" s="41" t="s">
        <v>12</v>
      </c>
      <c r="G5" s="80" t="s">
        <v>6</v>
      </c>
      <c r="H5" s="83"/>
    </row>
    <row r="6" ht="20" customHeight="1" spans="1:8">
      <c r="A6" s="84" t="s">
        <v>13</v>
      </c>
      <c r="B6" s="85" t="s">
        <v>14</v>
      </c>
      <c r="C6" s="86">
        <f>C7</f>
        <v>195.31</v>
      </c>
      <c r="D6" s="86">
        <f>D7</f>
        <v>191.47</v>
      </c>
      <c r="E6" s="86"/>
      <c r="F6" s="86">
        <f t="shared" ref="F6:F15" si="0">C6+D6</f>
        <v>386.78</v>
      </c>
      <c r="G6" s="87"/>
      <c r="H6" s="88"/>
    </row>
    <row r="7" ht="20" customHeight="1" spans="1:8">
      <c r="A7" s="37" t="s">
        <v>15</v>
      </c>
      <c r="B7" s="38" t="s">
        <v>16</v>
      </c>
      <c r="C7" s="89">
        <f>SUM(C8:C15)</f>
        <v>195.31</v>
      </c>
      <c r="D7" s="89">
        <f>SUM(D8:D15)</f>
        <v>191.47</v>
      </c>
      <c r="E7" s="89"/>
      <c r="F7" s="90">
        <f t="shared" si="0"/>
        <v>386.78</v>
      </c>
      <c r="G7" s="91"/>
      <c r="H7" s="92"/>
    </row>
    <row r="8" ht="20" customHeight="1" spans="1:8">
      <c r="A8" s="37" t="s">
        <v>17</v>
      </c>
      <c r="B8" s="38" t="s">
        <v>18</v>
      </c>
      <c r="C8" s="93">
        <v>33.06</v>
      </c>
      <c r="D8" s="89"/>
      <c r="E8" s="89"/>
      <c r="F8" s="90">
        <f t="shared" si="0"/>
        <v>33.06</v>
      </c>
      <c r="G8" s="91"/>
      <c r="H8" s="92"/>
    </row>
    <row r="9" ht="20" customHeight="1" spans="1:8">
      <c r="A9" s="37" t="s">
        <v>19</v>
      </c>
      <c r="B9" s="38" t="s">
        <v>20</v>
      </c>
      <c r="C9" s="93">
        <v>42.13</v>
      </c>
      <c r="D9" s="89"/>
      <c r="E9" s="89"/>
      <c r="F9" s="90">
        <f t="shared" si="0"/>
        <v>42.13</v>
      </c>
      <c r="G9" s="91"/>
      <c r="H9" s="92"/>
    </row>
    <row r="10" ht="20" customHeight="1" spans="1:8">
      <c r="A10" s="37" t="s">
        <v>21</v>
      </c>
      <c r="B10" s="38" t="s">
        <v>22</v>
      </c>
      <c r="C10" s="93">
        <v>90.48</v>
      </c>
      <c r="D10" s="89"/>
      <c r="E10" s="89"/>
      <c r="F10" s="90">
        <f t="shared" si="0"/>
        <v>90.48</v>
      </c>
      <c r="G10" s="91"/>
      <c r="H10" s="92"/>
    </row>
    <row r="11" ht="20" customHeight="1" spans="1:8">
      <c r="A11" s="37" t="s">
        <v>23</v>
      </c>
      <c r="B11" s="38" t="s">
        <v>24</v>
      </c>
      <c r="C11" s="93">
        <v>11.78</v>
      </c>
      <c r="D11" s="89"/>
      <c r="E11" s="89"/>
      <c r="F11" s="90">
        <f t="shared" si="0"/>
        <v>11.78</v>
      </c>
      <c r="G11" s="91"/>
      <c r="H11" s="92"/>
    </row>
    <row r="12" ht="20" customHeight="1" spans="1:8">
      <c r="A12" s="37" t="s">
        <v>25</v>
      </c>
      <c r="B12" s="38" t="s">
        <v>26</v>
      </c>
      <c r="C12" s="93">
        <v>5.39</v>
      </c>
      <c r="D12" s="89"/>
      <c r="E12" s="89"/>
      <c r="F12" s="90">
        <f t="shared" si="0"/>
        <v>5.39</v>
      </c>
      <c r="G12" s="91"/>
      <c r="H12" s="92"/>
    </row>
    <row r="13" ht="20" customHeight="1" spans="1:8">
      <c r="A13" s="37" t="s">
        <v>27</v>
      </c>
      <c r="B13" s="38" t="s">
        <v>28</v>
      </c>
      <c r="C13" s="93"/>
      <c r="D13" s="93">
        <v>107.25</v>
      </c>
      <c r="E13" s="89"/>
      <c r="F13" s="90">
        <f t="shared" si="0"/>
        <v>107.25</v>
      </c>
      <c r="G13" s="91"/>
      <c r="H13" s="92"/>
    </row>
    <row r="14" ht="20" customHeight="1" spans="1:8">
      <c r="A14" s="37" t="s">
        <v>29</v>
      </c>
      <c r="B14" s="38" t="s">
        <v>30</v>
      </c>
      <c r="C14" s="93"/>
      <c r="D14" s="93">
        <v>84.22</v>
      </c>
      <c r="E14" s="89"/>
      <c r="F14" s="90">
        <f t="shared" si="0"/>
        <v>84.22</v>
      </c>
      <c r="G14" s="91"/>
      <c r="H14" s="92"/>
    </row>
    <row r="15" ht="20" customHeight="1" spans="1:8">
      <c r="A15" s="37" t="s">
        <v>31</v>
      </c>
      <c r="B15" s="38" t="s">
        <v>32</v>
      </c>
      <c r="C15" s="89">
        <v>12.47</v>
      </c>
      <c r="D15" s="89"/>
      <c r="E15" s="89"/>
      <c r="F15" s="90">
        <f t="shared" si="0"/>
        <v>12.47</v>
      </c>
      <c r="G15" s="91"/>
      <c r="H15" s="92"/>
    </row>
    <row r="16" ht="20" customHeight="1" spans="1:8">
      <c r="A16" s="44" t="s">
        <v>33</v>
      </c>
      <c r="B16" s="45" t="s">
        <v>34</v>
      </c>
      <c r="C16" s="47"/>
      <c r="D16" s="94"/>
      <c r="E16" s="47">
        <f>E17</f>
        <v>71.68</v>
      </c>
      <c r="F16" s="47">
        <f t="shared" ref="F16:F23" si="1">E16</f>
        <v>71.68</v>
      </c>
      <c r="G16" s="87"/>
      <c r="H16" s="95" t="s">
        <v>35</v>
      </c>
    </row>
    <row r="17" ht="24" spans="1:8">
      <c r="A17" s="49" t="s">
        <v>36</v>
      </c>
      <c r="B17" s="50" t="s">
        <v>37</v>
      </c>
      <c r="C17" s="96"/>
      <c r="D17" s="97"/>
      <c r="E17" s="47">
        <f>SUM(E18:E29)+E32+E33</f>
        <v>71.68</v>
      </c>
      <c r="F17" s="47">
        <f t="shared" si="1"/>
        <v>71.68</v>
      </c>
      <c r="G17" s="87"/>
      <c r="H17" s="95"/>
    </row>
    <row r="18" ht="30" customHeight="1" spans="1:8">
      <c r="A18" s="52">
        <v>1</v>
      </c>
      <c r="B18" s="53" t="s">
        <v>38</v>
      </c>
      <c r="C18" s="96"/>
      <c r="D18" s="97"/>
      <c r="E18" s="89">
        <f>ROUND(F6*0.02,2)</f>
        <v>7.74</v>
      </c>
      <c r="F18" s="89">
        <f t="shared" si="1"/>
        <v>7.74</v>
      </c>
      <c r="G18" s="91"/>
      <c r="H18" s="67" t="s">
        <v>39</v>
      </c>
    </row>
    <row r="19" ht="30" customHeight="1" spans="1:8">
      <c r="A19" s="52">
        <v>2</v>
      </c>
      <c r="B19" s="54" t="s">
        <v>40</v>
      </c>
      <c r="C19" s="96"/>
      <c r="D19" s="97"/>
      <c r="E19" s="89">
        <f>2.99+0.35</f>
        <v>3.34</v>
      </c>
      <c r="F19" s="89">
        <f t="shared" si="1"/>
        <v>3.34</v>
      </c>
      <c r="G19" s="91"/>
      <c r="H19" s="67" t="s">
        <v>41</v>
      </c>
    </row>
    <row r="20" ht="30" customHeight="1" spans="1:8">
      <c r="A20" s="52">
        <v>3</v>
      </c>
      <c r="B20" s="54" t="s">
        <v>42</v>
      </c>
      <c r="C20" s="96"/>
      <c r="D20" s="97"/>
      <c r="E20" s="89">
        <v>3</v>
      </c>
      <c r="F20" s="89">
        <f t="shared" si="1"/>
        <v>3</v>
      </c>
      <c r="G20" s="91"/>
      <c r="H20" s="67" t="s">
        <v>41</v>
      </c>
    </row>
    <row r="21" ht="30" customHeight="1" spans="1:8">
      <c r="A21" s="52">
        <v>4</v>
      </c>
      <c r="B21" s="54" t="s">
        <v>43</v>
      </c>
      <c r="C21" s="96"/>
      <c r="D21" s="97"/>
      <c r="E21" s="89">
        <v>16.72</v>
      </c>
      <c r="F21" s="89">
        <f t="shared" si="1"/>
        <v>16.72</v>
      </c>
      <c r="G21" s="91"/>
      <c r="H21" s="67" t="s">
        <v>41</v>
      </c>
    </row>
    <row r="22" ht="30" customHeight="1" spans="1:8">
      <c r="A22" s="52">
        <v>5</v>
      </c>
      <c r="B22" s="54" t="s">
        <v>44</v>
      </c>
      <c r="C22" s="96"/>
      <c r="D22" s="97"/>
      <c r="E22" s="89">
        <f>ROUND(F6*0.19%,2)</f>
        <v>0.73</v>
      </c>
      <c r="F22" s="89">
        <f t="shared" si="1"/>
        <v>0.73</v>
      </c>
      <c r="G22" s="91"/>
      <c r="H22" s="67" t="s">
        <v>45</v>
      </c>
    </row>
    <row r="23" ht="30" customHeight="1" spans="1:8">
      <c r="A23" s="52">
        <v>6</v>
      </c>
      <c r="B23" s="54" t="s">
        <v>46</v>
      </c>
      <c r="C23" s="96"/>
      <c r="D23" s="97"/>
      <c r="E23" s="89">
        <f>ROUND((100*0.1+(F6-100)*0.7+0*0.55)/100,2)</f>
        <v>2.11</v>
      </c>
      <c r="F23" s="89">
        <f t="shared" si="1"/>
        <v>2.11</v>
      </c>
      <c r="G23" s="91"/>
      <c r="H23" s="67" t="s">
        <v>39</v>
      </c>
    </row>
    <row r="24" ht="30" customHeight="1" spans="1:8">
      <c r="A24" s="52">
        <v>7</v>
      </c>
      <c r="B24" s="54" t="s">
        <v>47</v>
      </c>
      <c r="C24" s="96"/>
      <c r="D24" s="97"/>
      <c r="E24" s="89">
        <f>ROUND(F6*0.00084,2)</f>
        <v>0.32</v>
      </c>
      <c r="F24" s="89">
        <f t="shared" ref="F24:F36" si="2">E24</f>
        <v>0.32</v>
      </c>
      <c r="G24" s="91"/>
      <c r="H24" s="67" t="s">
        <v>48</v>
      </c>
    </row>
    <row r="25" ht="30" customHeight="1" spans="1:8">
      <c r="A25" s="52">
        <v>8</v>
      </c>
      <c r="B25" s="54" t="s">
        <v>49</v>
      </c>
      <c r="C25" s="96"/>
      <c r="D25" s="97"/>
      <c r="E25" s="89">
        <f>ROUND(F6*0.003,2)</f>
        <v>1.16</v>
      </c>
      <c r="F25" s="89">
        <f t="shared" si="2"/>
        <v>1.16</v>
      </c>
      <c r="G25" s="91"/>
      <c r="H25" s="67" t="s">
        <v>39</v>
      </c>
    </row>
    <row r="26" ht="30" customHeight="1" spans="1:8">
      <c r="A26" s="52">
        <v>9</v>
      </c>
      <c r="B26" s="54" t="s">
        <v>50</v>
      </c>
      <c r="C26" s="96"/>
      <c r="D26" s="97"/>
      <c r="E26" s="89">
        <f>ROUND(F7*0.005,2)</f>
        <v>1.93</v>
      </c>
      <c r="F26" s="89">
        <f t="shared" si="2"/>
        <v>1.93</v>
      </c>
      <c r="G26" s="91"/>
      <c r="H26" s="67" t="s">
        <v>39</v>
      </c>
    </row>
    <row r="27" ht="30" customHeight="1" spans="1:8">
      <c r="A27" s="52">
        <v>10</v>
      </c>
      <c r="B27" s="54" t="s">
        <v>51</v>
      </c>
      <c r="C27" s="96"/>
      <c r="D27" s="97"/>
      <c r="E27" s="89">
        <f>ROUND(16.5+(16.5-0)*(F6-500)/500,2)</f>
        <v>12.76</v>
      </c>
      <c r="F27" s="89">
        <f t="shared" si="2"/>
        <v>12.76</v>
      </c>
      <c r="G27" s="91"/>
      <c r="H27" s="67" t="s">
        <v>39</v>
      </c>
    </row>
    <row r="28" ht="30" customHeight="1" spans="1:8">
      <c r="A28" s="52">
        <v>11</v>
      </c>
      <c r="B28" s="54" t="s">
        <v>52</v>
      </c>
      <c r="C28" s="96"/>
      <c r="D28" s="97"/>
      <c r="E28" s="89">
        <f>ROUND(F6*0.01,2)</f>
        <v>3.87</v>
      </c>
      <c r="F28" s="89">
        <f t="shared" si="2"/>
        <v>3.87</v>
      </c>
      <c r="G28" s="91"/>
      <c r="H28" s="67" t="s">
        <v>39</v>
      </c>
    </row>
    <row r="29" ht="30" customHeight="1" spans="1:8">
      <c r="A29" s="52">
        <v>12</v>
      </c>
      <c r="B29" s="54" t="s">
        <v>53</v>
      </c>
      <c r="C29" s="96"/>
      <c r="D29" s="97"/>
      <c r="E29" s="59">
        <f>E30+E31</f>
        <v>6.07</v>
      </c>
      <c r="F29" s="89">
        <f t="shared" si="2"/>
        <v>6.07</v>
      </c>
      <c r="G29" s="91"/>
      <c r="H29" s="67"/>
    </row>
    <row r="30" ht="30" customHeight="1" spans="1:8">
      <c r="A30" s="52" t="s">
        <v>54</v>
      </c>
      <c r="B30" s="54" t="s">
        <v>55</v>
      </c>
      <c r="C30" s="96"/>
      <c r="D30" s="97"/>
      <c r="E30" s="59">
        <f>ROUND((C6*0.4%+D6*0.7%)*2,2)</f>
        <v>4.24</v>
      </c>
      <c r="F30" s="89">
        <f t="shared" si="2"/>
        <v>4.24</v>
      </c>
      <c r="G30" s="91"/>
      <c r="H30" s="66" t="s">
        <v>56</v>
      </c>
    </row>
    <row r="31" ht="30" customHeight="1" spans="1:8">
      <c r="A31" s="52" t="s">
        <v>57</v>
      </c>
      <c r="B31" s="54" t="s">
        <v>58</v>
      </c>
      <c r="C31" s="96"/>
      <c r="D31" s="97"/>
      <c r="E31" s="59">
        <f>ROUND(C6*0.35%+D6*0.6%,2)</f>
        <v>1.83</v>
      </c>
      <c r="F31" s="89">
        <f t="shared" si="2"/>
        <v>1.83</v>
      </c>
      <c r="G31" s="91"/>
      <c r="H31" s="66" t="s">
        <v>56</v>
      </c>
    </row>
    <row r="32" ht="30" customHeight="1" spans="1:8">
      <c r="A32" s="52" t="s">
        <v>59</v>
      </c>
      <c r="B32" s="54" t="s">
        <v>60</v>
      </c>
      <c r="C32" s="96"/>
      <c r="D32" s="97"/>
      <c r="E32" s="59">
        <v>10</v>
      </c>
      <c r="F32" s="89">
        <f t="shared" si="2"/>
        <v>10</v>
      </c>
      <c r="G32" s="91"/>
      <c r="H32" s="66" t="s">
        <v>61</v>
      </c>
    </row>
    <row r="33" ht="30" customHeight="1" spans="1:8">
      <c r="A33" s="52" t="s">
        <v>62</v>
      </c>
      <c r="B33" s="54" t="s">
        <v>63</v>
      </c>
      <c r="C33" s="96"/>
      <c r="D33" s="97"/>
      <c r="E33" s="89">
        <f>ROUND(F6*0.005,2)</f>
        <v>1.93</v>
      </c>
      <c r="F33" s="89">
        <f t="shared" si="2"/>
        <v>1.93</v>
      </c>
      <c r="G33" s="91"/>
      <c r="H33" s="67" t="s">
        <v>64</v>
      </c>
    </row>
    <row r="34" ht="20" customHeight="1" spans="1:8">
      <c r="A34" s="44" t="s">
        <v>65</v>
      </c>
      <c r="B34" s="45" t="s">
        <v>66</v>
      </c>
      <c r="C34" s="96"/>
      <c r="D34" s="97"/>
      <c r="E34" s="47">
        <f>E35</f>
        <v>22.92</v>
      </c>
      <c r="F34" s="47">
        <f t="shared" si="2"/>
        <v>22.92</v>
      </c>
      <c r="G34" s="91"/>
      <c r="H34" s="67"/>
    </row>
    <row r="35" ht="20" customHeight="1" spans="1:8">
      <c r="A35" s="57">
        <v>1</v>
      </c>
      <c r="B35" s="58" t="s">
        <v>67</v>
      </c>
      <c r="C35" s="96"/>
      <c r="D35" s="97"/>
      <c r="E35" s="59">
        <f>ROUND((F6+F16)*5%,2)</f>
        <v>22.92</v>
      </c>
      <c r="F35" s="59">
        <f t="shared" si="2"/>
        <v>22.92</v>
      </c>
      <c r="G35" s="91"/>
      <c r="H35" s="67" t="s">
        <v>68</v>
      </c>
    </row>
    <row r="36" ht="20" customHeight="1" spans="1:8">
      <c r="A36" s="44" t="s">
        <v>69</v>
      </c>
      <c r="B36" s="45" t="s">
        <v>70</v>
      </c>
      <c r="C36" s="96"/>
      <c r="D36" s="97"/>
      <c r="E36" s="47">
        <f>F6+F16+F34</f>
        <v>481.38</v>
      </c>
      <c r="F36" s="47">
        <f t="shared" si="2"/>
        <v>481.38</v>
      </c>
      <c r="G36" s="91"/>
      <c r="H36" s="67"/>
    </row>
  </sheetData>
  <autoFilter ref="A5:Q36">
    <extLst/>
  </autoFilter>
  <mergeCells count="7">
    <mergeCell ref="A2:H2"/>
    <mergeCell ref="A3:H3"/>
    <mergeCell ref="C4:F4"/>
    <mergeCell ref="A4:A5"/>
    <mergeCell ref="B4:B5"/>
    <mergeCell ref="G4:G5"/>
    <mergeCell ref="H4:H5"/>
  </mergeCells>
  <printOptions horizontalCentered="1"/>
  <pageMargins left="0.393055555555556" right="0.393055555555556" top="0.511805555555556" bottom="0.511805555555556" header="0.313888888888889" footer="0.313888888888889"/>
  <pageSetup paperSize="9" scale="81" orientation="portrait"/>
  <headerFooter>
    <oddFooter>&amp;C第 &amp;P 页，共 &amp;N 页</oddFooter>
  </headerFooter>
  <rowBreaks count="1" manualBreakCount="1">
    <brk id="38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zoomScaleSheetLayoutView="115" workbookViewId="0">
      <pane ySplit="4" topLeftCell="A21" activePane="bottomLeft" state="frozen"/>
      <selection/>
      <selection pane="bottomLeft" activeCell="H17" sqref="H17"/>
    </sheetView>
  </sheetViews>
  <sheetFormatPr defaultColWidth="9" defaultRowHeight="18.75" customHeight="1"/>
  <cols>
    <col min="1" max="1" width="6.25" style="14" customWidth="1"/>
    <col min="2" max="2" width="22.625" style="15" customWidth="1"/>
    <col min="3" max="3" width="7.25" style="16" customWidth="1"/>
    <col min="4" max="4" width="9.5" style="12" customWidth="1"/>
    <col min="5" max="5" width="9.2" style="12" customWidth="1"/>
    <col min="6" max="6" width="9.2" style="17" customWidth="1"/>
    <col min="7" max="7" width="9.5" style="18" customWidth="1"/>
    <col min="8" max="9" width="11.5" style="19" customWidth="1"/>
    <col min="10" max="10" width="9.2" style="19" customWidth="1"/>
    <col min="11" max="12" width="12.625" style="19" customWidth="1"/>
    <col min="13" max="13" width="15.7" style="12" customWidth="1"/>
    <col min="14" max="14" width="9" style="12" hidden="1" customWidth="1"/>
    <col min="15" max="15" width="9" style="12"/>
    <col min="16" max="16" width="12.875" style="12"/>
    <col min="17" max="17" width="9" style="12"/>
    <col min="18" max="18" width="9.25" style="12"/>
    <col min="19" max="16383" width="9" style="12"/>
  </cols>
  <sheetData>
    <row r="1" s="12" customFormat="1" ht="28.5" customHeight="1" spans="1:13">
      <c r="A1" s="20" t="s">
        <v>71</v>
      </c>
      <c r="B1" s="21"/>
      <c r="C1" s="20"/>
      <c r="D1" s="20"/>
      <c r="E1" s="20"/>
      <c r="F1" s="22"/>
      <c r="G1" s="20"/>
      <c r="H1" s="20"/>
      <c r="I1" s="20"/>
      <c r="J1" s="20"/>
      <c r="K1" s="20"/>
      <c r="L1" s="20"/>
      <c r="M1" s="20"/>
    </row>
    <row r="2" s="12" customFormat="1" ht="24.75" customHeight="1" spans="1:13">
      <c r="A2" s="23" t="s">
        <v>72</v>
      </c>
      <c r="B2" s="23"/>
      <c r="C2" s="24"/>
      <c r="D2" s="23"/>
      <c r="E2" s="23"/>
      <c r="F2" s="25"/>
      <c r="G2" s="24"/>
      <c r="H2" s="23"/>
      <c r="I2" s="23"/>
      <c r="J2" s="23"/>
      <c r="K2" s="23"/>
      <c r="L2" s="23"/>
      <c r="M2" s="23"/>
    </row>
    <row r="3" s="12" customFormat="1" ht="20" customHeight="1" spans="1:13">
      <c r="A3" s="26" t="s">
        <v>3</v>
      </c>
      <c r="B3" s="27" t="s">
        <v>4</v>
      </c>
      <c r="C3" s="28" t="s">
        <v>73</v>
      </c>
      <c r="D3" s="29" t="s">
        <v>74</v>
      </c>
      <c r="E3" s="29"/>
      <c r="F3" s="29"/>
      <c r="G3" s="29"/>
      <c r="H3" s="29" t="s">
        <v>75</v>
      </c>
      <c r="I3" s="29"/>
      <c r="J3" s="29"/>
      <c r="K3" s="29"/>
      <c r="L3" s="29" t="s">
        <v>76</v>
      </c>
      <c r="M3" s="61" t="s">
        <v>8</v>
      </c>
    </row>
    <row r="4" s="12" customFormat="1" ht="32" customHeight="1" spans="1:13">
      <c r="A4" s="26"/>
      <c r="B4" s="27"/>
      <c r="C4" s="28"/>
      <c r="D4" s="28" t="s">
        <v>77</v>
      </c>
      <c r="E4" s="28" t="s">
        <v>10</v>
      </c>
      <c r="F4" s="30" t="s">
        <v>11</v>
      </c>
      <c r="G4" s="29" t="s">
        <v>12</v>
      </c>
      <c r="H4" s="28" t="s">
        <v>77</v>
      </c>
      <c r="I4" s="28" t="s">
        <v>10</v>
      </c>
      <c r="J4" s="30" t="s">
        <v>11</v>
      </c>
      <c r="K4" s="29" t="s">
        <v>12</v>
      </c>
      <c r="L4" s="29"/>
      <c r="M4" s="61"/>
    </row>
    <row r="5" s="13" customFormat="1" ht="20" customHeight="1" spans="1:14">
      <c r="A5" s="31" t="s">
        <v>13</v>
      </c>
      <c r="B5" s="32" t="s">
        <v>78</v>
      </c>
      <c r="C5" s="33" t="s">
        <v>79</v>
      </c>
      <c r="D5" s="34">
        <f>D6</f>
        <v>196.22</v>
      </c>
      <c r="E5" s="34">
        <f>E6</f>
        <v>218.53</v>
      </c>
      <c r="F5" s="35"/>
      <c r="G5" s="35">
        <f t="shared" ref="G5:G14" si="0">D5+E5</f>
        <v>414.75</v>
      </c>
      <c r="H5" s="36">
        <f>汇总表!C6</f>
        <v>195.31</v>
      </c>
      <c r="I5" s="36">
        <f>汇总表!D6</f>
        <v>191.47</v>
      </c>
      <c r="J5" s="36"/>
      <c r="K5" s="36">
        <f>汇总表!F6</f>
        <v>386.78</v>
      </c>
      <c r="L5" s="36">
        <f t="shared" ref="L5:L15" si="1">K5-G5</f>
        <v>-27.97</v>
      </c>
      <c r="M5" s="62"/>
      <c r="N5" s="63"/>
    </row>
    <row r="6" s="13" customFormat="1" ht="20" customHeight="1" spans="1:14">
      <c r="A6" s="37" t="s">
        <v>15</v>
      </c>
      <c r="B6" s="38" t="s">
        <v>16</v>
      </c>
      <c r="C6" s="39" t="s">
        <v>79</v>
      </c>
      <c r="D6" s="40">
        <f>SUM(D7:D14)</f>
        <v>196.22</v>
      </c>
      <c r="E6" s="40">
        <f>SUM(E7:E14)</f>
        <v>218.53</v>
      </c>
      <c r="F6" s="35"/>
      <c r="G6" s="41">
        <f t="shared" si="0"/>
        <v>414.75</v>
      </c>
      <c r="H6" s="42">
        <f>汇总表!C7</f>
        <v>195.31</v>
      </c>
      <c r="I6" s="42">
        <f>汇总表!D7</f>
        <v>191.47</v>
      </c>
      <c r="J6" s="42"/>
      <c r="K6" s="42">
        <f>汇总表!F7</f>
        <v>386.78</v>
      </c>
      <c r="L6" s="42">
        <f t="shared" si="1"/>
        <v>-27.97</v>
      </c>
      <c r="M6" s="62"/>
      <c r="N6" s="63" t="str">
        <f>IF(L6&lt;0,B6&amp;"送审金额为"&amp;G6&amp;C6&amp;"，审定金额为"&amp;K6&amp;C6&amp;"，审减金额为"&amp;-L6&amp;"万元。主要原因是"&amp;M6&amp;"。",IF(L6&gt;0,B6&amp;"送审金额为"&amp;G6&amp;C6&amp;"，审定金额为"&amp;K6&amp;C6&amp;"，审增金额为"&amp;L6&amp;"万元。主要原因是"&amp;M6&amp;"。",""""))</f>
        <v>大足区龙石镇污水处理厂扩容提标工程送审金额为414.75万元，审定金额为386.78万元，审减金额为27.97万元。主要原因是。</v>
      </c>
    </row>
    <row r="7" s="13" customFormat="1" ht="20" customHeight="1" spans="1:17">
      <c r="A7" s="37" t="s">
        <v>17</v>
      </c>
      <c r="B7" s="38" t="s">
        <v>18</v>
      </c>
      <c r="C7" s="39" t="s">
        <v>79</v>
      </c>
      <c r="D7" s="43">
        <v>35.04</v>
      </c>
      <c r="E7" s="43">
        <v>0</v>
      </c>
      <c r="F7" s="35"/>
      <c r="G7" s="41">
        <f t="shared" si="0"/>
        <v>35.04</v>
      </c>
      <c r="H7" s="42">
        <f>汇总表!C8</f>
        <v>33.06</v>
      </c>
      <c r="I7" s="42">
        <f>汇总表!D8</f>
        <v>0</v>
      </c>
      <c r="J7" s="42"/>
      <c r="K7" s="42">
        <f>汇总表!F8</f>
        <v>33.06</v>
      </c>
      <c r="L7" s="42">
        <f t="shared" si="1"/>
        <v>-1.98</v>
      </c>
      <c r="M7" s="62"/>
      <c r="N7" s="63" t="str">
        <f t="shared" ref="N7:N32" si="2">IF(L7&lt;0,B7&amp;"送审金额为"&amp;G7&amp;C7&amp;"，审定金额为"&amp;K7&amp;C7&amp;"，审减金额为"&amp;-L7&amp;"万元。主要原因是"&amp;M7&amp;"。",IF(L7&gt;0,B7&amp;"送审金额为"&amp;G7&amp;C7&amp;"，审定金额为"&amp;K7&amp;C7&amp;"，审增金额为"&amp;L7&amp;"万元。主要原因是"&amp;M7&amp;"。",""""))</f>
        <v>设备房送审金额为35.04万元，审定金额为33.06万元，审减金额为1.98万元。主要原因是。</v>
      </c>
      <c r="Q7" s="68"/>
    </row>
    <row r="8" s="13" customFormat="1" ht="20" customHeight="1" spans="1:17">
      <c r="A8" s="37" t="s">
        <v>19</v>
      </c>
      <c r="B8" s="38" t="s">
        <v>20</v>
      </c>
      <c r="C8" s="39" t="s">
        <v>79</v>
      </c>
      <c r="D8" s="43">
        <v>45.96</v>
      </c>
      <c r="E8" s="43">
        <v>0</v>
      </c>
      <c r="F8" s="35"/>
      <c r="G8" s="41">
        <f t="shared" si="0"/>
        <v>45.96</v>
      </c>
      <c r="H8" s="42">
        <f>汇总表!C9</f>
        <v>42.13</v>
      </c>
      <c r="I8" s="42">
        <f>汇总表!D9</f>
        <v>0</v>
      </c>
      <c r="J8" s="42"/>
      <c r="K8" s="42">
        <f>汇总表!F9</f>
        <v>42.13</v>
      </c>
      <c r="L8" s="42">
        <f t="shared" si="1"/>
        <v>-3.83</v>
      </c>
      <c r="M8" s="62"/>
      <c r="N8" s="63" t="str">
        <f t="shared" si="2"/>
        <v>调节池、污泥脱水间送审金额为45.96万元，审定金额为42.13万元，审减金额为3.83万元。主要原因是。</v>
      </c>
      <c r="Q8" s="68"/>
    </row>
    <row r="9" s="13" customFormat="1" ht="20" customHeight="1" spans="1:17">
      <c r="A9" s="37" t="s">
        <v>21</v>
      </c>
      <c r="B9" s="38" t="s">
        <v>22</v>
      </c>
      <c r="C9" s="39" t="s">
        <v>79</v>
      </c>
      <c r="D9" s="43">
        <v>94.93</v>
      </c>
      <c r="E9" s="43">
        <v>0</v>
      </c>
      <c r="F9" s="35"/>
      <c r="G9" s="41">
        <f t="shared" si="0"/>
        <v>94.93</v>
      </c>
      <c r="H9" s="42">
        <f>汇总表!C10</f>
        <v>90.48</v>
      </c>
      <c r="I9" s="42">
        <f>汇总表!D10</f>
        <v>0</v>
      </c>
      <c r="J9" s="42"/>
      <c r="K9" s="42">
        <f>汇总表!F10</f>
        <v>90.48</v>
      </c>
      <c r="L9" s="42">
        <f t="shared" si="1"/>
        <v>-4.45</v>
      </c>
      <c r="M9" s="62"/>
      <c r="N9" s="63" t="str">
        <f t="shared" si="2"/>
        <v>组合池送审金额为94.93万元，审定金额为90.48万元，审减金额为4.45万元。主要原因是。</v>
      </c>
      <c r="Q9" s="68"/>
    </row>
    <row r="10" s="13" customFormat="1" ht="20" customHeight="1" spans="1:17">
      <c r="A10" s="37" t="s">
        <v>23</v>
      </c>
      <c r="B10" s="38" t="s">
        <v>24</v>
      </c>
      <c r="C10" s="39" t="s">
        <v>79</v>
      </c>
      <c r="D10" s="43">
        <v>14.9</v>
      </c>
      <c r="E10" s="43">
        <v>0</v>
      </c>
      <c r="F10" s="35"/>
      <c r="G10" s="41">
        <f t="shared" si="0"/>
        <v>14.9</v>
      </c>
      <c r="H10" s="42">
        <f>汇总表!C11</f>
        <v>11.78</v>
      </c>
      <c r="I10" s="42">
        <f>汇总表!D11</f>
        <v>0</v>
      </c>
      <c r="J10" s="42"/>
      <c r="K10" s="42">
        <f>汇总表!F11</f>
        <v>11.78</v>
      </c>
      <c r="L10" s="42">
        <f t="shared" si="1"/>
        <v>-3.12</v>
      </c>
      <c r="M10" s="62"/>
      <c r="N10" s="63" t="str">
        <f t="shared" si="2"/>
        <v>滤布滤池、消毒池、出水渠送审金额为14.9万元，审定金额为11.78万元，审减金额为3.12万元。主要原因是。</v>
      </c>
      <c r="Q10" s="68"/>
    </row>
    <row r="11" s="13" customFormat="1" ht="20" customHeight="1" spans="1:17">
      <c r="A11" s="37" t="s">
        <v>25</v>
      </c>
      <c r="B11" s="38" t="s">
        <v>26</v>
      </c>
      <c r="C11" s="39" t="s">
        <v>79</v>
      </c>
      <c r="D11" s="43">
        <v>5.39</v>
      </c>
      <c r="E11" s="43">
        <v>0</v>
      </c>
      <c r="F11" s="35"/>
      <c r="G11" s="41">
        <f t="shared" si="0"/>
        <v>5.39</v>
      </c>
      <c r="H11" s="42">
        <f>汇总表!C12</f>
        <v>5.39</v>
      </c>
      <c r="I11" s="42">
        <f>汇总表!D12</f>
        <v>0</v>
      </c>
      <c r="J11" s="42"/>
      <c r="K11" s="42">
        <f>汇总表!F12</f>
        <v>5.39</v>
      </c>
      <c r="L11" s="42">
        <f t="shared" si="1"/>
        <v>0</v>
      </c>
      <c r="M11" s="62"/>
      <c r="N11" s="63" t="str">
        <f t="shared" si="2"/>
        <v>"</v>
      </c>
      <c r="Q11" s="68"/>
    </row>
    <row r="12" s="13" customFormat="1" ht="20" customHeight="1" spans="1:17">
      <c r="A12" s="37" t="s">
        <v>27</v>
      </c>
      <c r="B12" s="38" t="s">
        <v>28</v>
      </c>
      <c r="C12" s="39" t="s">
        <v>79</v>
      </c>
      <c r="D12" s="43">
        <v>0</v>
      </c>
      <c r="E12" s="43">
        <v>117.83</v>
      </c>
      <c r="F12" s="35"/>
      <c r="G12" s="41">
        <f t="shared" si="0"/>
        <v>117.83</v>
      </c>
      <c r="H12" s="42">
        <f>汇总表!C13</f>
        <v>0</v>
      </c>
      <c r="I12" s="42">
        <f>汇总表!D13</f>
        <v>107.25</v>
      </c>
      <c r="J12" s="42"/>
      <c r="K12" s="42">
        <f>汇总表!F13</f>
        <v>107.25</v>
      </c>
      <c r="L12" s="42">
        <f t="shared" si="1"/>
        <v>-10.58</v>
      </c>
      <c r="M12" s="62"/>
      <c r="N12" s="63" t="str">
        <f t="shared" si="2"/>
        <v>工艺设备送审金额为117.83万元，审定金额为107.25万元，审减金额为10.58万元。主要原因是。</v>
      </c>
      <c r="Q12" s="68"/>
    </row>
    <row r="13" s="13" customFormat="1" ht="20" customHeight="1" spans="1:17">
      <c r="A13" s="37" t="s">
        <v>29</v>
      </c>
      <c r="B13" s="38" t="s">
        <v>30</v>
      </c>
      <c r="C13" s="39" t="s">
        <v>79</v>
      </c>
      <c r="D13" s="43">
        <v>0</v>
      </c>
      <c r="E13" s="43">
        <v>88.1</v>
      </c>
      <c r="F13" s="35"/>
      <c r="G13" s="41">
        <f t="shared" si="0"/>
        <v>88.1</v>
      </c>
      <c r="H13" s="42">
        <f>汇总表!C14</f>
        <v>0</v>
      </c>
      <c r="I13" s="42">
        <f>汇总表!D14</f>
        <v>84.22</v>
      </c>
      <c r="J13" s="42"/>
      <c r="K13" s="42">
        <f>汇总表!F14</f>
        <v>84.22</v>
      </c>
      <c r="L13" s="42">
        <f t="shared" si="1"/>
        <v>-3.88</v>
      </c>
      <c r="M13" s="62"/>
      <c r="N13" s="63" t="str">
        <f t="shared" si="2"/>
        <v>电气工程送审金额为88.1万元，审定金额为84.22万元，审减金额为3.88万元。主要原因是。</v>
      </c>
      <c r="Q13" s="68"/>
    </row>
    <row r="14" s="13" customFormat="1" ht="20" customHeight="1" spans="1:17">
      <c r="A14" s="37" t="s">
        <v>31</v>
      </c>
      <c r="B14" s="38" t="s">
        <v>32</v>
      </c>
      <c r="C14" s="39" t="s">
        <v>79</v>
      </c>
      <c r="D14" s="43">
        <v>0</v>
      </c>
      <c r="E14" s="43">
        <v>12.6</v>
      </c>
      <c r="F14" s="35"/>
      <c r="G14" s="41">
        <f t="shared" si="0"/>
        <v>12.6</v>
      </c>
      <c r="H14" s="42">
        <f>汇总表!C15</f>
        <v>12.47</v>
      </c>
      <c r="I14" s="42">
        <f>汇总表!D15</f>
        <v>0</v>
      </c>
      <c r="J14" s="42"/>
      <c r="K14" s="42">
        <f>汇总表!F15</f>
        <v>12.47</v>
      </c>
      <c r="L14" s="42">
        <f t="shared" si="1"/>
        <v>-0.129999999999999</v>
      </c>
      <c r="M14" s="62"/>
      <c r="N14" s="63" t="str">
        <f t="shared" si="2"/>
        <v>道路、绿化工程送审金额为12.6万元，审定金额为12.47万元，审减金额为0.129999999999999万元。主要原因是。</v>
      </c>
      <c r="Q14" s="68"/>
    </row>
    <row r="15" s="13" customFormat="1" ht="20" customHeight="1" spans="1:14">
      <c r="A15" s="44" t="s">
        <v>33</v>
      </c>
      <c r="B15" s="45" t="s">
        <v>34</v>
      </c>
      <c r="C15" s="33" t="s">
        <v>79</v>
      </c>
      <c r="D15" s="46"/>
      <c r="E15" s="46"/>
      <c r="F15" s="47">
        <f>F16</f>
        <v>75.34</v>
      </c>
      <c r="G15" s="48">
        <f t="shared" ref="G15:G34" si="3">F15</f>
        <v>75.34</v>
      </c>
      <c r="H15" s="36"/>
      <c r="I15" s="36"/>
      <c r="J15" s="64">
        <f>汇总表!F16</f>
        <v>71.68</v>
      </c>
      <c r="K15" s="36">
        <f>汇总表!F16</f>
        <v>71.68</v>
      </c>
      <c r="L15" s="36">
        <f t="shared" si="1"/>
        <v>-3.66</v>
      </c>
      <c r="M15" s="62"/>
      <c r="N15" s="63" t="str">
        <f t="shared" si="2"/>
        <v>工程建设其他费用送审金额为75.34万元，审定金额为71.68万元，审减金额为3.66万元。主要原因是。</v>
      </c>
    </row>
    <row r="16" s="12" customFormat="1" ht="20" customHeight="1" spans="1:14">
      <c r="A16" s="49" t="s">
        <v>36</v>
      </c>
      <c r="B16" s="50" t="s">
        <v>37</v>
      </c>
      <c r="C16" s="40"/>
      <c r="D16" s="40"/>
      <c r="E16" s="40"/>
      <c r="F16" s="51">
        <f>SUM(F17:F32)</f>
        <v>75.34</v>
      </c>
      <c r="G16" s="34">
        <f t="shared" si="3"/>
        <v>75.34</v>
      </c>
      <c r="H16" s="42"/>
      <c r="I16" s="42"/>
      <c r="J16" s="65">
        <f>汇总表!E17</f>
        <v>71.68</v>
      </c>
      <c r="K16" s="42">
        <f t="shared" ref="K16:K34" si="4">J16</f>
        <v>71.68</v>
      </c>
      <c r="L16" s="42">
        <f t="shared" ref="L16:L35" si="5">ROUND(K16-G16,2)</f>
        <v>-3.66</v>
      </c>
      <c r="M16" s="62"/>
      <c r="N16" s="63"/>
    </row>
    <row r="17" s="12" customFormat="1" ht="28" customHeight="1" spans="1:14">
      <c r="A17" s="52">
        <v>1</v>
      </c>
      <c r="B17" s="53" t="s">
        <v>38</v>
      </c>
      <c r="C17" s="39" t="s">
        <v>79</v>
      </c>
      <c r="D17" s="40"/>
      <c r="E17" s="40"/>
      <c r="F17" s="40">
        <v>8.29</v>
      </c>
      <c r="G17" s="43">
        <f t="shared" si="3"/>
        <v>8.29</v>
      </c>
      <c r="H17" s="42"/>
      <c r="I17" s="42"/>
      <c r="J17" s="65">
        <f>汇总表!E18</f>
        <v>7.74</v>
      </c>
      <c r="K17" s="42">
        <f t="shared" si="4"/>
        <v>7.74</v>
      </c>
      <c r="L17" s="42">
        <f t="shared" si="5"/>
        <v>-0.55</v>
      </c>
      <c r="M17" s="66" t="s">
        <v>39</v>
      </c>
      <c r="N17" s="63" t="str">
        <f t="shared" si="2"/>
        <v>建设单位管理费送审金额为8.29万元，审定金额为7.74万元，审减金额为0.55万元。主要原因是按照2021概算编规计取。</v>
      </c>
    </row>
    <row r="18" s="12" customFormat="1" ht="28" customHeight="1" spans="1:14">
      <c r="A18" s="52">
        <v>2</v>
      </c>
      <c r="B18" s="54" t="s">
        <v>40</v>
      </c>
      <c r="C18" s="39" t="s">
        <v>79</v>
      </c>
      <c r="D18" s="40"/>
      <c r="E18" s="40"/>
      <c r="F18" s="40">
        <v>0</v>
      </c>
      <c r="G18" s="43">
        <f t="shared" si="3"/>
        <v>0</v>
      </c>
      <c r="H18" s="42"/>
      <c r="I18" s="42"/>
      <c r="J18" s="65">
        <f>汇总表!E19</f>
        <v>3.34</v>
      </c>
      <c r="K18" s="42">
        <f t="shared" si="4"/>
        <v>3.34</v>
      </c>
      <c r="L18" s="42">
        <f t="shared" si="5"/>
        <v>3.34</v>
      </c>
      <c r="M18" s="66" t="s">
        <v>41</v>
      </c>
      <c r="N18" s="63" t="str">
        <f t="shared" si="2"/>
        <v>工程勘察费送审金额为0万元，审定金额为3.34万元，审增金额为3.34万元。主要原因是已有合同约定。</v>
      </c>
    </row>
    <row r="19" s="12" customFormat="1" ht="28" customHeight="1" spans="1:14">
      <c r="A19" s="52">
        <v>3</v>
      </c>
      <c r="B19" s="54" t="s">
        <v>42</v>
      </c>
      <c r="C19" s="39" t="s">
        <v>79</v>
      </c>
      <c r="D19" s="40"/>
      <c r="E19" s="40"/>
      <c r="F19" s="40">
        <v>5.98</v>
      </c>
      <c r="G19" s="43">
        <f t="shared" si="3"/>
        <v>5.98</v>
      </c>
      <c r="H19" s="42"/>
      <c r="I19" s="42"/>
      <c r="J19" s="65">
        <f>汇总表!E20</f>
        <v>3</v>
      </c>
      <c r="K19" s="42">
        <f t="shared" si="4"/>
        <v>3</v>
      </c>
      <c r="L19" s="42">
        <f t="shared" si="5"/>
        <v>-2.98</v>
      </c>
      <c r="M19" s="66" t="s">
        <v>41</v>
      </c>
      <c r="N19" s="63" t="str">
        <f t="shared" si="2"/>
        <v>项目论证费送审金额为5.98万元，审定金额为3万元，审减金额为2.98万元。主要原因是已有合同约定。</v>
      </c>
    </row>
    <row r="20" s="12" customFormat="1" ht="28" customHeight="1" spans="1:14">
      <c r="A20" s="52">
        <v>4</v>
      </c>
      <c r="B20" s="54" t="s">
        <v>43</v>
      </c>
      <c r="C20" s="39" t="s">
        <v>79</v>
      </c>
      <c r="D20" s="40"/>
      <c r="E20" s="40"/>
      <c r="F20" s="40">
        <v>17.52</v>
      </c>
      <c r="G20" s="43">
        <f t="shared" si="3"/>
        <v>17.52</v>
      </c>
      <c r="H20" s="42"/>
      <c r="I20" s="42"/>
      <c r="J20" s="65">
        <f>汇总表!E21</f>
        <v>16.72</v>
      </c>
      <c r="K20" s="42">
        <f t="shared" si="4"/>
        <v>16.72</v>
      </c>
      <c r="L20" s="42">
        <f t="shared" si="5"/>
        <v>-0.8</v>
      </c>
      <c r="M20" s="66" t="s">
        <v>41</v>
      </c>
      <c r="N20" s="63" t="str">
        <f t="shared" si="2"/>
        <v>工程设计费送审金额为17.52万元，审定金额为16.72万元，审减金额为0.8万元。主要原因是已有合同约定。</v>
      </c>
    </row>
    <row r="21" s="12" customFormat="1" ht="28" customHeight="1" spans="1:14">
      <c r="A21" s="52">
        <v>5</v>
      </c>
      <c r="B21" s="54" t="s">
        <v>44</v>
      </c>
      <c r="C21" s="39" t="s">
        <v>79</v>
      </c>
      <c r="D21" s="55"/>
      <c r="E21" s="55"/>
      <c r="F21" s="55">
        <v>0</v>
      </c>
      <c r="G21" s="43">
        <f t="shared" si="3"/>
        <v>0</v>
      </c>
      <c r="H21" s="42"/>
      <c r="I21" s="42"/>
      <c r="J21" s="65">
        <f>汇总表!E22</f>
        <v>0.73</v>
      </c>
      <c r="K21" s="42">
        <f t="shared" si="4"/>
        <v>0.73</v>
      </c>
      <c r="L21" s="42">
        <f t="shared" si="5"/>
        <v>0.73</v>
      </c>
      <c r="M21" s="67" t="s">
        <v>45</v>
      </c>
      <c r="N21" s="63" t="str">
        <f t="shared" si="2"/>
        <v>施工图审查费送审金额为0万元，审定金额为0.73万元，审增金额为0.73万元。主要原因是按渝价[2013]423号文计取。</v>
      </c>
    </row>
    <row r="22" s="12" customFormat="1" ht="28" customHeight="1" spans="1:14">
      <c r="A22" s="52">
        <v>6</v>
      </c>
      <c r="B22" s="54" t="s">
        <v>46</v>
      </c>
      <c r="C22" s="39" t="s">
        <v>79</v>
      </c>
      <c r="D22" s="55"/>
      <c r="E22" s="55"/>
      <c r="F22" s="55">
        <v>3.2</v>
      </c>
      <c r="G22" s="43">
        <f t="shared" si="3"/>
        <v>3.2</v>
      </c>
      <c r="H22" s="42"/>
      <c r="I22" s="42"/>
      <c r="J22" s="65">
        <f>汇总表!E23</f>
        <v>2.11</v>
      </c>
      <c r="K22" s="42">
        <f t="shared" si="4"/>
        <v>2.11</v>
      </c>
      <c r="L22" s="42">
        <f t="shared" si="5"/>
        <v>-1.09</v>
      </c>
      <c r="M22" s="66" t="s">
        <v>39</v>
      </c>
      <c r="N22" s="63" t="str">
        <f t="shared" si="2"/>
        <v>招投标代理费送审金额为3.2万元，审定金额为2.11万元，审减金额为1.09万元。主要原因是按照2021概算编规计取。</v>
      </c>
    </row>
    <row r="23" s="12" customFormat="1" ht="28" customHeight="1" spans="1:14">
      <c r="A23" s="52">
        <v>7</v>
      </c>
      <c r="B23" s="54" t="s">
        <v>47</v>
      </c>
      <c r="C23" s="39" t="s">
        <v>79</v>
      </c>
      <c r="D23" s="40"/>
      <c r="E23" s="40"/>
      <c r="F23" s="40">
        <v>0</v>
      </c>
      <c r="G23" s="43">
        <f t="shared" si="3"/>
        <v>0</v>
      </c>
      <c r="H23" s="42"/>
      <c r="I23" s="42"/>
      <c r="J23" s="65">
        <f>汇总表!E24</f>
        <v>0.32</v>
      </c>
      <c r="K23" s="42">
        <f t="shared" si="4"/>
        <v>0.32</v>
      </c>
      <c r="L23" s="42">
        <f t="shared" si="5"/>
        <v>0.32</v>
      </c>
      <c r="M23" s="66" t="s">
        <v>48</v>
      </c>
      <c r="N23" s="63" t="str">
        <f t="shared" si="2"/>
        <v>工程招投标交易服务费送审金额为0万元，审定金额为0.32万元，审增金额为0.32万元。主要原因是按渝价[2016]232号文计列。</v>
      </c>
    </row>
    <row r="24" s="12" customFormat="1" ht="28" customHeight="1" spans="1:14">
      <c r="A24" s="52">
        <v>8</v>
      </c>
      <c r="B24" s="54" t="s">
        <v>49</v>
      </c>
      <c r="C24" s="39" t="s">
        <v>79</v>
      </c>
      <c r="D24" s="40"/>
      <c r="E24" s="40"/>
      <c r="F24" s="40">
        <v>0</v>
      </c>
      <c r="G24" s="43">
        <f t="shared" si="3"/>
        <v>0</v>
      </c>
      <c r="H24" s="42"/>
      <c r="I24" s="42"/>
      <c r="J24" s="65">
        <f>汇总表!E25</f>
        <v>1.16</v>
      </c>
      <c r="K24" s="42">
        <f t="shared" si="4"/>
        <v>1.16</v>
      </c>
      <c r="L24" s="42">
        <f t="shared" si="5"/>
        <v>1.16</v>
      </c>
      <c r="M24" s="66" t="s">
        <v>39</v>
      </c>
      <c r="N24" s="63" t="str">
        <f t="shared" si="2"/>
        <v>工程建设保险费送审金额为0万元，审定金额为1.16万元，审增金额为1.16万元。主要原因是按照2021概算编规计取。</v>
      </c>
    </row>
    <row r="25" s="12" customFormat="1" ht="28" customHeight="1" spans="1:14">
      <c r="A25" s="52">
        <v>9</v>
      </c>
      <c r="B25" s="54" t="s">
        <v>50</v>
      </c>
      <c r="C25" s="39" t="s">
        <v>79</v>
      </c>
      <c r="D25" s="40"/>
      <c r="E25" s="40"/>
      <c r="F25" s="40">
        <v>6.42</v>
      </c>
      <c r="G25" s="43">
        <f t="shared" si="3"/>
        <v>6.42</v>
      </c>
      <c r="H25" s="42"/>
      <c r="I25" s="42"/>
      <c r="J25" s="65">
        <f>汇总表!E26</f>
        <v>1.93</v>
      </c>
      <c r="K25" s="42">
        <f t="shared" si="4"/>
        <v>1.93</v>
      </c>
      <c r="L25" s="42">
        <f t="shared" si="5"/>
        <v>-4.49</v>
      </c>
      <c r="M25" s="66" t="s">
        <v>39</v>
      </c>
      <c r="N25" s="63" t="str">
        <f t="shared" si="2"/>
        <v>环境评价费送审金额为6.42万元，审定金额为1.93万元，审减金额为4.49万元。主要原因是按照2021概算编规计取。</v>
      </c>
    </row>
    <row r="26" s="12" customFormat="1" ht="28" customHeight="1" spans="1:14">
      <c r="A26" s="52">
        <v>10</v>
      </c>
      <c r="B26" s="54" t="s">
        <v>51</v>
      </c>
      <c r="C26" s="39" t="s">
        <v>79</v>
      </c>
      <c r="D26" s="40"/>
      <c r="E26" s="40"/>
      <c r="F26" s="40">
        <v>13.69</v>
      </c>
      <c r="G26" s="43">
        <f t="shared" si="3"/>
        <v>13.69</v>
      </c>
      <c r="H26" s="42"/>
      <c r="I26" s="42"/>
      <c r="J26" s="65">
        <f>汇总表!E27</f>
        <v>12.76</v>
      </c>
      <c r="K26" s="42">
        <f t="shared" si="4"/>
        <v>12.76</v>
      </c>
      <c r="L26" s="42">
        <f t="shared" si="5"/>
        <v>-0.93</v>
      </c>
      <c r="M26" s="66" t="s">
        <v>39</v>
      </c>
      <c r="N26" s="63" t="str">
        <f t="shared" si="2"/>
        <v>工程建设监理费送审金额为13.69万元，审定金额为12.76万元，审减金额为0.93万元。主要原因是按照2021概算编规计取。</v>
      </c>
    </row>
    <row r="27" s="12" customFormat="1" ht="28" customHeight="1" spans="1:14">
      <c r="A27" s="52">
        <v>11</v>
      </c>
      <c r="B27" s="54" t="s">
        <v>52</v>
      </c>
      <c r="C27" s="39" t="s">
        <v>79</v>
      </c>
      <c r="D27" s="40"/>
      <c r="E27" s="40"/>
      <c r="F27" s="40">
        <v>0</v>
      </c>
      <c r="G27" s="43">
        <f t="shared" si="3"/>
        <v>0</v>
      </c>
      <c r="H27" s="42"/>
      <c r="I27" s="42"/>
      <c r="J27" s="65">
        <f>汇总表!E28</f>
        <v>3.87</v>
      </c>
      <c r="K27" s="42">
        <f t="shared" si="4"/>
        <v>3.87</v>
      </c>
      <c r="L27" s="42">
        <f t="shared" si="5"/>
        <v>3.87</v>
      </c>
      <c r="M27" s="66" t="s">
        <v>39</v>
      </c>
      <c r="N27" s="63" t="str">
        <f t="shared" si="2"/>
        <v>场地准备及临时设施费送审金额为0万元，审定金额为3.87万元，审增金额为3.87万元。主要原因是按照2021概算编规计取。</v>
      </c>
    </row>
    <row r="28" s="12" customFormat="1" ht="28" customHeight="1" spans="1:14">
      <c r="A28" s="52">
        <v>12</v>
      </c>
      <c r="B28" s="54" t="s">
        <v>53</v>
      </c>
      <c r="C28" s="39" t="s">
        <v>79</v>
      </c>
      <c r="D28" s="40"/>
      <c r="E28" s="40"/>
      <c r="F28" s="40">
        <v>10.24</v>
      </c>
      <c r="G28" s="43">
        <f t="shared" si="3"/>
        <v>10.24</v>
      </c>
      <c r="H28" s="42"/>
      <c r="I28" s="42"/>
      <c r="J28" s="65">
        <f>J29+J30</f>
        <v>6.07</v>
      </c>
      <c r="K28" s="42">
        <f t="shared" si="4"/>
        <v>6.07</v>
      </c>
      <c r="L28" s="42">
        <f t="shared" si="5"/>
        <v>-4.17</v>
      </c>
      <c r="M28" s="66"/>
      <c r="N28" s="63" t="str">
        <f t="shared" si="2"/>
        <v>工程造价咨询费送审金额为10.24万元，审定金额为6.07万元，审减金额为4.17万元。主要原因是。</v>
      </c>
    </row>
    <row r="29" s="12" customFormat="1" ht="28" customHeight="1" spans="1:14">
      <c r="A29" s="52" t="s">
        <v>54</v>
      </c>
      <c r="B29" s="54" t="s">
        <v>55</v>
      </c>
      <c r="C29" s="39" t="s">
        <v>79</v>
      </c>
      <c r="D29" s="40"/>
      <c r="E29" s="40"/>
      <c r="F29" s="40">
        <v>0</v>
      </c>
      <c r="G29" s="43">
        <f t="shared" si="3"/>
        <v>0</v>
      </c>
      <c r="H29" s="42"/>
      <c r="I29" s="42"/>
      <c r="J29" s="65">
        <f>汇总表!E30</f>
        <v>4.24</v>
      </c>
      <c r="K29" s="42">
        <f t="shared" si="4"/>
        <v>4.24</v>
      </c>
      <c r="L29" s="42">
        <f t="shared" si="5"/>
        <v>4.24</v>
      </c>
      <c r="M29" s="66" t="s">
        <v>56</v>
      </c>
      <c r="N29" s="63"/>
    </row>
    <row r="30" s="12" customFormat="1" ht="28" customHeight="1" spans="1:14">
      <c r="A30" s="52" t="s">
        <v>57</v>
      </c>
      <c r="B30" s="54" t="s">
        <v>58</v>
      </c>
      <c r="C30" s="39" t="s">
        <v>79</v>
      </c>
      <c r="D30" s="40"/>
      <c r="E30" s="40"/>
      <c r="F30" s="40">
        <v>0</v>
      </c>
      <c r="G30" s="43">
        <f t="shared" si="3"/>
        <v>0</v>
      </c>
      <c r="H30" s="42"/>
      <c r="I30" s="42"/>
      <c r="J30" s="65">
        <f>汇总表!E31</f>
        <v>1.83</v>
      </c>
      <c r="K30" s="42">
        <f t="shared" si="4"/>
        <v>1.83</v>
      </c>
      <c r="L30" s="42">
        <f t="shared" si="5"/>
        <v>1.83</v>
      </c>
      <c r="M30" s="66" t="s">
        <v>56</v>
      </c>
      <c r="N30" s="63"/>
    </row>
    <row r="31" s="12" customFormat="1" ht="28" customHeight="1" spans="1:14">
      <c r="A31" s="52" t="s">
        <v>59</v>
      </c>
      <c r="B31" s="54" t="s">
        <v>60</v>
      </c>
      <c r="C31" s="39" t="s">
        <v>79</v>
      </c>
      <c r="D31" s="40"/>
      <c r="E31" s="40"/>
      <c r="F31" s="40">
        <v>10</v>
      </c>
      <c r="G31" s="43">
        <f t="shared" si="3"/>
        <v>10</v>
      </c>
      <c r="H31" s="42"/>
      <c r="I31" s="42"/>
      <c r="J31" s="65">
        <v>10</v>
      </c>
      <c r="K31" s="42">
        <f t="shared" si="4"/>
        <v>10</v>
      </c>
      <c r="L31" s="42">
        <f t="shared" si="5"/>
        <v>0</v>
      </c>
      <c r="M31" s="66" t="s">
        <v>61</v>
      </c>
      <c r="N31" s="63" t="str">
        <f t="shared" si="2"/>
        <v>"</v>
      </c>
    </row>
    <row r="32" s="12" customFormat="1" ht="28" customHeight="1" spans="1:14">
      <c r="A32" s="52" t="s">
        <v>62</v>
      </c>
      <c r="B32" s="54" t="s">
        <v>63</v>
      </c>
      <c r="C32" s="39" t="s">
        <v>79</v>
      </c>
      <c r="D32" s="40"/>
      <c r="E32" s="40"/>
      <c r="F32" s="40">
        <v>0</v>
      </c>
      <c r="G32" s="43">
        <f t="shared" si="3"/>
        <v>0</v>
      </c>
      <c r="H32" s="42"/>
      <c r="I32" s="42"/>
      <c r="J32" s="65">
        <f>汇总表!E33</f>
        <v>1.93</v>
      </c>
      <c r="K32" s="42">
        <f t="shared" si="4"/>
        <v>1.93</v>
      </c>
      <c r="L32" s="42">
        <f t="shared" si="5"/>
        <v>1.93</v>
      </c>
      <c r="M32" s="66" t="s">
        <v>64</v>
      </c>
      <c r="N32" s="63" t="str">
        <f t="shared" si="2"/>
        <v>安全生产保障费送审金额为0万元，审定金额为1.93万元，审增金额为1.93万元。主要原因是按工程建安费*0.5%计取。</v>
      </c>
    </row>
    <row r="33" s="12" customFormat="1" ht="20" customHeight="1" spans="1:14">
      <c r="A33" s="44" t="s">
        <v>65</v>
      </c>
      <c r="B33" s="45" t="s">
        <v>66</v>
      </c>
      <c r="C33" s="39" t="s">
        <v>79</v>
      </c>
      <c r="D33" s="56"/>
      <c r="E33" s="56"/>
      <c r="F33" s="47">
        <f>F34</f>
        <v>20.74</v>
      </c>
      <c r="G33" s="48">
        <f t="shared" si="3"/>
        <v>20.74</v>
      </c>
      <c r="H33" s="42"/>
      <c r="I33" s="42"/>
      <c r="J33" s="65">
        <f>J34</f>
        <v>22.92</v>
      </c>
      <c r="K33" s="36">
        <f t="shared" si="4"/>
        <v>22.92</v>
      </c>
      <c r="L33" s="42">
        <f t="shared" si="5"/>
        <v>2.18</v>
      </c>
      <c r="M33" s="62" t="s">
        <v>56</v>
      </c>
      <c r="N33" s="63"/>
    </row>
    <row r="34" s="12" customFormat="1" ht="28" customHeight="1" spans="1:14">
      <c r="A34" s="57">
        <v>1</v>
      </c>
      <c r="B34" s="58" t="s">
        <v>67</v>
      </c>
      <c r="C34" s="39" t="s">
        <v>79</v>
      </c>
      <c r="D34" s="56"/>
      <c r="E34" s="56"/>
      <c r="F34" s="59">
        <v>20.74</v>
      </c>
      <c r="G34" s="60">
        <f t="shared" si="3"/>
        <v>20.74</v>
      </c>
      <c r="H34" s="42"/>
      <c r="I34" s="42"/>
      <c r="J34" s="65">
        <f>汇总表!E35</f>
        <v>22.92</v>
      </c>
      <c r="K34" s="42">
        <f t="shared" si="4"/>
        <v>22.92</v>
      </c>
      <c r="L34" s="42">
        <f t="shared" si="5"/>
        <v>2.18</v>
      </c>
      <c r="M34" s="66" t="str">
        <f>汇总表!H35</f>
        <v>（一+二-土地费用）*5%</v>
      </c>
      <c r="N34" s="63" t="str">
        <f>IF(L34&lt;0,B34&amp;"送审金额为"&amp;G34&amp;C34&amp;"，审定金额为"&amp;K34&amp;C34&amp;"，审减金额为"&amp;-L34&amp;"万元。主要原因是"&amp;M34&amp;"。",IF(L34&gt;0,B34&amp;"送审金额为"&amp;G34&amp;C34&amp;"，审定金额为"&amp;K34&amp;C34&amp;"，审增金额为"&amp;L34&amp;"万元。主要原因是"&amp;M34&amp;"。",""""))</f>
        <v>基本预备费送审金额为20.74万元，审定金额为22.92万元，审增金额为2.18万元。主要原因是（一+二-土地费用）*5%。</v>
      </c>
    </row>
    <row r="35" s="12" customFormat="1" ht="20" customHeight="1" spans="1:13">
      <c r="A35" s="44" t="s">
        <v>69</v>
      </c>
      <c r="B35" s="45" t="s">
        <v>70</v>
      </c>
      <c r="C35" s="39" t="s">
        <v>79</v>
      </c>
      <c r="D35" s="56"/>
      <c r="E35" s="56"/>
      <c r="F35" s="47"/>
      <c r="G35" s="48">
        <f>G33+G15+G5</f>
        <v>510.83</v>
      </c>
      <c r="H35" s="42"/>
      <c r="I35" s="42"/>
      <c r="J35" s="65"/>
      <c r="K35" s="36">
        <f>汇总表!F36</f>
        <v>481.38</v>
      </c>
      <c r="L35" s="42">
        <f t="shared" si="5"/>
        <v>-29.45</v>
      </c>
      <c r="M35" s="62"/>
    </row>
  </sheetData>
  <mergeCells count="9">
    <mergeCell ref="A1:M1"/>
    <mergeCell ref="A2:M2"/>
    <mergeCell ref="D3:G3"/>
    <mergeCell ref="H3:K3"/>
    <mergeCell ref="A3:A4"/>
    <mergeCell ref="B3:B4"/>
    <mergeCell ref="C3:C4"/>
    <mergeCell ref="L3:L4"/>
    <mergeCell ref="M3:M4"/>
  </mergeCells>
  <pageMargins left="0.75" right="0.75" top="1" bottom="1" header="0.5" footer="0.5"/>
  <pageSetup paperSize="9" scale="82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8"/>
  <sheetViews>
    <sheetView workbookViewId="0">
      <selection activeCell="D5" sqref="D5:G8"/>
    </sheetView>
  </sheetViews>
  <sheetFormatPr defaultColWidth="8.8" defaultRowHeight="14.25" outlineLevelRow="7" outlineLevelCol="6"/>
  <cols>
    <col min="4" max="4" width="14"/>
    <col min="5" max="7" width="9.2"/>
  </cols>
  <sheetData>
    <row r="3" ht="15"/>
    <row r="4" ht="38.25" spans="2:7">
      <c r="B4" s="7" t="s">
        <v>3</v>
      </c>
      <c r="C4" s="7" t="s">
        <v>80</v>
      </c>
      <c r="D4" s="7" t="s">
        <v>81</v>
      </c>
      <c r="E4" s="7" t="s">
        <v>82</v>
      </c>
      <c r="F4" s="7" t="s">
        <v>83</v>
      </c>
      <c r="G4" s="7" t="s">
        <v>84</v>
      </c>
    </row>
    <row r="5" ht="38.25" spans="2:7">
      <c r="B5" s="8">
        <v>1</v>
      </c>
      <c r="C5" s="8" t="s">
        <v>14</v>
      </c>
      <c r="D5" s="9">
        <f>ROUND(对比!G5,2)</f>
        <v>414.75</v>
      </c>
      <c r="E5" s="9">
        <f>对比!K5</f>
        <v>386.78</v>
      </c>
      <c r="F5" s="9">
        <f>E5-D5</f>
        <v>-27.97</v>
      </c>
      <c r="G5" s="10">
        <f>F5/D5</f>
        <v>-0.0674382157926462</v>
      </c>
    </row>
    <row r="6" ht="38.25" spans="2:7">
      <c r="B6" s="8">
        <v>2</v>
      </c>
      <c r="C6" s="8" t="s">
        <v>85</v>
      </c>
      <c r="D6" s="9">
        <f>ROUND(对比!G15,2)</f>
        <v>75.34</v>
      </c>
      <c r="E6" s="9">
        <f>对比!K15</f>
        <v>71.68</v>
      </c>
      <c r="F6" s="9">
        <f>E6-D6</f>
        <v>-3.66</v>
      </c>
      <c r="G6" s="10">
        <f>F6/D6</f>
        <v>-0.0485797717016193</v>
      </c>
    </row>
    <row r="7" ht="19.5" spans="2:7">
      <c r="B7" s="8">
        <v>3</v>
      </c>
      <c r="C7" s="8" t="s">
        <v>86</v>
      </c>
      <c r="D7" s="9">
        <f>对比!G33</f>
        <v>20.74</v>
      </c>
      <c r="E7" s="9">
        <f>对比!K33</f>
        <v>22.92</v>
      </c>
      <c r="F7" s="9">
        <f>E7-D7</f>
        <v>2.18</v>
      </c>
      <c r="G7" s="10">
        <f>F7/D7</f>
        <v>0.105110896817744</v>
      </c>
    </row>
    <row r="8" ht="19.5" spans="2:7">
      <c r="B8" s="8">
        <v>4</v>
      </c>
      <c r="C8" s="8" t="s">
        <v>12</v>
      </c>
      <c r="D8" s="11">
        <f>对比!G35</f>
        <v>510.83</v>
      </c>
      <c r="E8" s="11">
        <f>对比!K35</f>
        <v>481.38</v>
      </c>
      <c r="F8" s="9">
        <f>E8-D8</f>
        <v>-29.45</v>
      </c>
      <c r="G8" s="10">
        <f>F8/D8</f>
        <v>-0.0576512734177711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G7"/>
  <sheetViews>
    <sheetView workbookViewId="0">
      <selection activeCell="G20" sqref="G20"/>
    </sheetView>
  </sheetViews>
  <sheetFormatPr defaultColWidth="8.8" defaultRowHeight="14.25" outlineLevelRow="6" outlineLevelCol="6"/>
  <cols>
    <col min="4" max="6" width="9.9"/>
    <col min="7" max="7" width="16.5"/>
  </cols>
  <sheetData>
    <row r="2" ht="15"/>
    <row r="3" ht="75.75" spans="3:7">
      <c r="C3" s="4" t="s">
        <v>80</v>
      </c>
      <c r="D3" s="4" t="s">
        <v>81</v>
      </c>
      <c r="E3" s="4" t="s">
        <v>87</v>
      </c>
      <c r="F3" s="4" t="s">
        <v>88</v>
      </c>
      <c r="G3" s="4" t="s">
        <v>89</v>
      </c>
    </row>
    <row r="4" ht="38.25" spans="3:7">
      <c r="C4" s="5" t="s">
        <v>14</v>
      </c>
      <c r="D4" s="5">
        <f>对比!G5</f>
        <v>414.75</v>
      </c>
      <c r="E4" s="5">
        <f>对比!K5</f>
        <v>386.78</v>
      </c>
      <c r="F4" s="5">
        <f>E4-D4</f>
        <v>-27.97</v>
      </c>
      <c r="G4" s="6">
        <f>F4/D4</f>
        <v>-0.0674382157926462</v>
      </c>
    </row>
    <row r="5" ht="57" spans="3:7">
      <c r="C5" s="5" t="s">
        <v>34</v>
      </c>
      <c r="D5" s="5">
        <f>对比!G15</f>
        <v>75.34</v>
      </c>
      <c r="E5" s="5">
        <f>对比!K15</f>
        <v>71.68</v>
      </c>
      <c r="F5" s="5">
        <f>E5-D5</f>
        <v>-3.66</v>
      </c>
      <c r="G5" s="6">
        <f>F5/D5</f>
        <v>-0.0485797717016193</v>
      </c>
    </row>
    <row r="6" ht="19.5" spans="3:7">
      <c r="C6" s="5" t="s">
        <v>86</v>
      </c>
      <c r="D6" s="5">
        <f>对比!G33</f>
        <v>20.74</v>
      </c>
      <c r="E6" s="5">
        <f>对比!K33</f>
        <v>22.92</v>
      </c>
      <c r="F6" s="5">
        <f>E6-D6</f>
        <v>2.18</v>
      </c>
      <c r="G6" s="6">
        <f>F6/D6</f>
        <v>0.105110896817744</v>
      </c>
    </row>
    <row r="7" ht="19.5" spans="3:7">
      <c r="C7" s="5" t="s">
        <v>12</v>
      </c>
      <c r="D7" s="5">
        <f>对比!G35</f>
        <v>510.83</v>
      </c>
      <c r="E7" s="5">
        <f>对比!K35</f>
        <v>481.38</v>
      </c>
      <c r="F7" s="5">
        <f>E7-D7</f>
        <v>-29.45</v>
      </c>
      <c r="G7" s="6">
        <f>F7/D7</f>
        <v>-0.0576512734177711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H10"/>
  <sheetViews>
    <sheetView workbookViewId="0">
      <selection activeCell="C6" sqref="C6:H10"/>
    </sheetView>
  </sheetViews>
  <sheetFormatPr defaultColWidth="8.8" defaultRowHeight="14.25" outlineLevelCol="7"/>
  <cols>
    <col min="5" max="5" width="15.2"/>
  </cols>
  <sheetData>
    <row r="4" ht="15"/>
    <row r="5" ht="38.25" spans="3:8">
      <c r="C5" s="1" t="s">
        <v>3</v>
      </c>
      <c r="D5" s="1" t="s">
        <v>80</v>
      </c>
      <c r="E5" s="1" t="s">
        <v>81</v>
      </c>
      <c r="F5" s="1" t="s">
        <v>87</v>
      </c>
      <c r="G5" s="1" t="s">
        <v>83</v>
      </c>
      <c r="H5" s="1" t="s">
        <v>84</v>
      </c>
    </row>
    <row r="6" ht="38.25" spans="3:8">
      <c r="C6" s="2">
        <v>1</v>
      </c>
      <c r="D6" s="2" t="s">
        <v>14</v>
      </c>
      <c r="E6" s="2">
        <f>对比!G5</f>
        <v>414.75</v>
      </c>
      <c r="F6" s="2">
        <f>对比!K5</f>
        <v>386.78</v>
      </c>
      <c r="G6" s="2">
        <f t="shared" ref="G6:G10" si="0">F6-E6</f>
        <v>-27.97</v>
      </c>
      <c r="H6" s="3">
        <f t="shared" ref="H6:H8" si="1">G6/E6</f>
        <v>-0.0674382157926462</v>
      </c>
    </row>
    <row r="7" ht="38.25" spans="3:8">
      <c r="C7" s="2">
        <v>2</v>
      </c>
      <c r="D7" s="2" t="s">
        <v>85</v>
      </c>
      <c r="E7" s="2">
        <v>272.7</v>
      </c>
      <c r="F7" s="2">
        <f>对比!K15</f>
        <v>71.68</v>
      </c>
      <c r="G7" s="2">
        <f t="shared" si="0"/>
        <v>-201.02</v>
      </c>
      <c r="H7" s="3">
        <f t="shared" si="1"/>
        <v>-0.737147048038137</v>
      </c>
    </row>
    <row r="8" ht="19.5" spans="3:8">
      <c r="C8" s="2">
        <v>3</v>
      </c>
      <c r="D8" s="2" t="s">
        <v>86</v>
      </c>
      <c r="E8" s="2" t="e">
        <f>对比!#REF!</f>
        <v>#REF!</v>
      </c>
      <c r="F8" s="2" t="e">
        <f>对比!#REF!</f>
        <v>#REF!</v>
      </c>
      <c r="G8" s="2" t="e">
        <f t="shared" si="0"/>
        <v>#REF!</v>
      </c>
      <c r="H8" s="3" t="e">
        <f t="shared" si="1"/>
        <v>#REF!</v>
      </c>
    </row>
    <row r="9" ht="38.25" spans="3:8">
      <c r="C9" s="2">
        <v>4</v>
      </c>
      <c r="D9" s="2" t="s">
        <v>90</v>
      </c>
      <c r="E9" s="2">
        <v>0</v>
      </c>
      <c r="F9" s="2">
        <v>0</v>
      </c>
      <c r="G9" s="2">
        <v>0</v>
      </c>
      <c r="H9" s="2" t="s">
        <v>91</v>
      </c>
    </row>
    <row r="10" ht="19.5" spans="3:8">
      <c r="C10" s="2">
        <v>5</v>
      </c>
      <c r="D10" s="2" t="s">
        <v>12</v>
      </c>
      <c r="E10" s="2">
        <v>3425.64</v>
      </c>
      <c r="F10" s="2" t="e">
        <f>对比!#REF!</f>
        <v>#REF!</v>
      </c>
      <c r="G10" s="2" t="e">
        <f t="shared" si="0"/>
        <v>#REF!</v>
      </c>
      <c r="H10" s="3" t="e">
        <f>G10/E10</f>
        <v>#REF!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lx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对比</vt:lpstr>
      <vt:lpstr>Sheet3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敏敏</dc:creator>
  <cp:lastModifiedBy>Administrator</cp:lastModifiedBy>
  <dcterms:created xsi:type="dcterms:W3CDTF">2005-03-07T01:33:00Z</dcterms:created>
  <cp:lastPrinted>2018-04-28T04:38:00Z</cp:lastPrinted>
  <dcterms:modified xsi:type="dcterms:W3CDTF">2022-08-17T10:15:44Z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07AA07D65C12410482ADEC10DD5309FE</vt:lpwstr>
  </property>
</Properties>
</file>