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对比" sheetId="3" r:id="rId2"/>
    <sheet name="Sheet1" sheetId="5" state="hidden" r:id="rId3"/>
    <sheet name="Sheet2" sheetId="4" state="hidden" r:id="rId4"/>
  </sheets>
  <definedNames>
    <definedName name="_xlnm.Print_Titles" localSheetId="0">汇总表!$1:$5</definedName>
    <definedName name="_xlnm.Print_Titles" localSheetId="1">对比!$2:$5</definedName>
  </definedNames>
  <calcPr calcId="144525" concurrentCalc="0"/>
</workbook>
</file>

<file path=xl/sharedStrings.xml><?xml version="1.0" encoding="utf-8"?>
<sst xmlns="http://schemas.openxmlformats.org/spreadsheetml/2006/main" count="273" uniqueCount="138">
  <si>
    <t>附件1：</t>
  </si>
  <si>
    <t>总概算表</t>
  </si>
  <si>
    <t xml:space="preserve">工程名称：重庆市大足区玉龙镇“美丽宜居示范乡镇”建设规划及工程实施项目                    金额单位：万元 </t>
  </si>
  <si>
    <t>序号</t>
  </si>
  <si>
    <t>工程或费用名称</t>
  </si>
  <si>
    <t>概算造价</t>
  </si>
  <si>
    <t/>
  </si>
  <si>
    <t>占总投资额
（%）</t>
  </si>
  <si>
    <t>备注</t>
  </si>
  <si>
    <t>建筑
工程费</t>
  </si>
  <si>
    <t>安装工程费</t>
  </si>
  <si>
    <t>其他项目费</t>
  </si>
  <si>
    <t>合计</t>
  </si>
  <si>
    <t>一</t>
  </si>
  <si>
    <t>工程费用</t>
  </si>
  <si>
    <t>1</t>
  </si>
  <si>
    <t>玉滨路</t>
  </si>
  <si>
    <t>1.1</t>
  </si>
  <si>
    <t>土建工程</t>
  </si>
  <si>
    <t>1.2</t>
  </si>
  <si>
    <t>绿化工程</t>
  </si>
  <si>
    <t>1.3</t>
  </si>
  <si>
    <t>建筑工程</t>
  </si>
  <si>
    <t>1.4</t>
  </si>
  <si>
    <t>水电工程</t>
  </si>
  <si>
    <t>2</t>
  </si>
  <si>
    <t>玉龙广场及周边</t>
  </si>
  <si>
    <t>2.1</t>
  </si>
  <si>
    <t>2.2</t>
  </si>
  <si>
    <t>2.3</t>
  </si>
  <si>
    <t>电气工程</t>
  </si>
  <si>
    <t>3</t>
  </si>
  <si>
    <t>滨湖村</t>
  </si>
  <si>
    <t>3.1</t>
  </si>
  <si>
    <t>3.2</t>
  </si>
  <si>
    <t>3.3</t>
  </si>
  <si>
    <t>4</t>
  </si>
  <si>
    <t>龙棠大道、梧桐大道、经开大道</t>
  </si>
  <si>
    <t>4.1</t>
  </si>
  <si>
    <t>4.2</t>
  </si>
  <si>
    <t>5</t>
  </si>
  <si>
    <t>BC段（迎宾段、交通岛）</t>
  </si>
  <si>
    <t>5.1</t>
  </si>
  <si>
    <t>5.2</t>
  </si>
  <si>
    <t>5.3</t>
  </si>
  <si>
    <t>二</t>
  </si>
  <si>
    <t>工程建设其他费用</t>
  </si>
  <si>
    <t>（一）+（二）</t>
  </si>
  <si>
    <t>（一）</t>
  </si>
  <si>
    <t>前期费用</t>
  </si>
  <si>
    <t>1+2</t>
  </si>
  <si>
    <t>土地征用及补偿费</t>
  </si>
  <si>
    <t>详用地估算金额情况说明</t>
  </si>
  <si>
    <t>场地准备及临时设施费</t>
  </si>
  <si>
    <t>按建安工程费*0.5%计取</t>
  </si>
  <si>
    <t>（二）</t>
  </si>
  <si>
    <t>与项目建设有关的其他费用</t>
  </si>
  <si>
    <t>1+2+3+4+5+6+7+8+9+10</t>
  </si>
  <si>
    <t>项目建设管理费</t>
  </si>
  <si>
    <t>按照2021编规计取</t>
  </si>
  <si>
    <t>建设工程监理费</t>
  </si>
  <si>
    <t>招标代理服务费</t>
  </si>
  <si>
    <t>招标交易服务费</t>
  </si>
  <si>
    <t>渝价[2018]54号*30%</t>
  </si>
  <si>
    <t>前期工作费</t>
  </si>
  <si>
    <t>5.1+5.2+5.3+5.4+5.5</t>
  </si>
  <si>
    <t>项目建议书编制费</t>
  </si>
  <si>
    <t>实际未发生</t>
  </si>
  <si>
    <t>可行性研究费</t>
  </si>
  <si>
    <t>已有合同约定</t>
  </si>
  <si>
    <t>环境影响评价费</t>
  </si>
  <si>
    <t>5.4</t>
  </si>
  <si>
    <t>节能评估费</t>
  </si>
  <si>
    <t>5.5</t>
  </si>
  <si>
    <t>社会稳定风险评估费</t>
  </si>
  <si>
    <t>社会稳定风险评估编制费按照可研编制费的30%计取，评审按照社会稳定风险分析报告编制费用的50%计取</t>
  </si>
  <si>
    <t>6</t>
  </si>
  <si>
    <t>工程勘察费</t>
  </si>
  <si>
    <t>7</t>
  </si>
  <si>
    <t>工程设计费</t>
  </si>
  <si>
    <t>8</t>
  </si>
  <si>
    <t>咨询费</t>
  </si>
  <si>
    <t>8.1+8.2</t>
  </si>
  <si>
    <t>8.1</t>
  </si>
  <si>
    <t>设计咨询费</t>
  </si>
  <si>
    <t>8.1.1+8.1.2</t>
  </si>
  <si>
    <t>8.1.1</t>
  </si>
  <si>
    <t>勘察成果审查费</t>
  </si>
  <si>
    <t>8.1.2</t>
  </si>
  <si>
    <t>施工图设计审查费</t>
  </si>
  <si>
    <t>渝价[2013]423号文</t>
  </si>
  <si>
    <t>8.2</t>
  </si>
  <si>
    <t>工程造价咨询费</t>
  </si>
  <si>
    <t>8.2.1+8.2.2+8.2.3+8.2.4</t>
  </si>
  <si>
    <t>8.2.1</t>
  </si>
  <si>
    <t>概算审核费</t>
  </si>
  <si>
    <t>不发生</t>
  </si>
  <si>
    <t>8.2.2</t>
  </si>
  <si>
    <t>工程量清单及组价编制、审核费</t>
  </si>
  <si>
    <t>渝价[2013]428号文下浮20%</t>
  </si>
  <si>
    <t>8.2.3</t>
  </si>
  <si>
    <t>工程量清单结算编制、审核费</t>
  </si>
  <si>
    <t>工程量清单施工阶段工程造价全过程控制已考虑结算审核费用</t>
  </si>
  <si>
    <t>8.2.4</t>
  </si>
  <si>
    <t>工程量清单施工阶段工程造价全过程控制</t>
  </si>
  <si>
    <t>9</t>
  </si>
  <si>
    <t>工程保险费</t>
  </si>
  <si>
    <t>按建安工程费*0.3%计取</t>
  </si>
  <si>
    <t>10</t>
  </si>
  <si>
    <t>安全生产保障费</t>
  </si>
  <si>
    <t>三</t>
  </si>
  <si>
    <t>预备费用</t>
  </si>
  <si>
    <t>基本预备费</t>
  </si>
  <si>
    <t>（一+二-土地费用）*5%</t>
  </si>
  <si>
    <t>四</t>
  </si>
  <si>
    <t>建设项目总概算</t>
  </si>
  <si>
    <t>附件2：</t>
  </si>
  <si>
    <t>投资概算对比表</t>
  </si>
  <si>
    <t xml:space="preserve">工程名称：重庆市大足区玉龙镇“美丽宜居示范乡镇”建设规划及工程实施项目                                                           金额单位：万元                                                                       </t>
  </si>
  <si>
    <t>单位</t>
  </si>
  <si>
    <t>概算送审造价</t>
  </si>
  <si>
    <t>概算审核造价</t>
  </si>
  <si>
    <t>调整值</t>
  </si>
  <si>
    <t>建筑工程费</t>
  </si>
  <si>
    <t>工程费</t>
  </si>
  <si>
    <t>万元</t>
  </si>
  <si>
    <t>施工阶段全过程控制费</t>
  </si>
  <si>
    <t>项目名称</t>
  </si>
  <si>
    <t>送审金额</t>
  </si>
  <si>
    <t>审核金额</t>
  </si>
  <si>
    <t>审增、减（+/-）金额</t>
  </si>
  <si>
    <t>审增、减（+/-）率</t>
  </si>
  <si>
    <t>预备费</t>
  </si>
  <si>
    <t>审增、减金额</t>
  </si>
  <si>
    <t>审增、减率</t>
  </si>
  <si>
    <t>工程其他费用</t>
  </si>
  <si>
    <t>专项费用</t>
  </si>
  <si>
    <t>/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</si>
</sst>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74">
    <font>
      <sz val="12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b/>
      <sz val="12"/>
      <name val="宋体"/>
      <charset val="134"/>
    </font>
    <font>
      <sz val="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0"/>
      <color indexed="0"/>
      <name val="宋体"/>
      <charset val="134"/>
    </font>
    <font>
      <sz val="10"/>
      <color indexed="0"/>
      <name val="方正黑体_GBK"/>
      <charset val="134"/>
    </font>
    <font>
      <sz val="10"/>
      <color theme="1"/>
      <name val="方正黑体_GBK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indexed="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Times New Roman"/>
      <charset val="0"/>
    </font>
    <font>
      <b/>
      <sz val="10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indexed="10"/>
      <name val="宋体"/>
      <charset val="134"/>
      <scheme val="minor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方正黑体_GBK"/>
      <charset val="134"/>
    </font>
    <font>
      <sz val="9"/>
      <color indexed="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indexed="0"/>
      <name val="宋体"/>
      <charset val="134"/>
    </font>
    <font>
      <b/>
      <sz val="20"/>
      <color indexed="0"/>
      <name val="宋体"/>
      <charset val="134"/>
    </font>
    <font>
      <b/>
      <sz val="9"/>
      <color indexed="0"/>
      <name val="宋体"/>
      <charset val="134"/>
    </font>
    <font>
      <b/>
      <sz val="12"/>
      <color theme="1"/>
      <name val="宋体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8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theme="2" tint="-0.75"/>
      </left>
      <right style="thin">
        <color theme="2" tint="-0.75"/>
      </right>
      <top style="thin">
        <color theme="2" tint="-0.75"/>
      </top>
      <bottom style="thin">
        <color theme="2" tint="-0.7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3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7" borderId="10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10" borderId="11" applyNumberFormat="0" applyFon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53" fillId="14" borderId="9" applyNumberFormat="0" applyAlignment="0" applyProtection="0">
      <alignment vertical="center"/>
    </xf>
    <xf numFmtId="0" fontId="54" fillId="15" borderId="15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59" fillId="7" borderId="18" applyNumberFormat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0" fillId="0" borderId="0"/>
    <xf numFmtId="0" fontId="67" fillId="4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73" fillId="45" borderId="10" applyNumberFormat="0" applyAlignment="0" applyProtection="0">
      <alignment vertical="center"/>
    </xf>
    <xf numFmtId="0" fontId="0" fillId="55" borderId="25" applyNumberFormat="0" applyFont="0" applyAlignment="0" applyProtection="0">
      <alignment vertical="center"/>
    </xf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2" xfId="13" applyNumberFormat="1" applyFont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49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right" vertical="center" wrapText="1"/>
    </xf>
    <xf numFmtId="49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177" fontId="16" fillId="0" borderId="5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177" fontId="16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176" fontId="20" fillId="0" borderId="4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4" xfId="22" applyNumberFormat="1" applyFont="1" applyBorder="1" applyAlignment="1">
      <alignment horizontal="left" vertical="center" wrapText="1"/>
    </xf>
    <xf numFmtId="177" fontId="21" fillId="0" borderId="5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4" xfId="22" applyNumberFormat="1" applyFont="1" applyBorder="1" applyAlignment="1">
      <alignment horizontal="left" vertical="center" wrapText="1"/>
    </xf>
    <xf numFmtId="0" fontId="16" fillId="0" borderId="4" xfId="22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 applyProtection="1">
      <alignment horizontal="center" vertical="center"/>
      <protection locked="0"/>
    </xf>
    <xf numFmtId="177" fontId="16" fillId="0" borderId="6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6" fontId="23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left" vertical="center" wrapText="1"/>
    </xf>
    <xf numFmtId="0" fontId="26" fillId="2" borderId="0" xfId="77" applyFont="1" applyFill="1" applyAlignment="1"/>
    <xf numFmtId="176" fontId="11" fillId="0" borderId="4" xfId="0" applyNumberFormat="1" applyFont="1" applyFill="1" applyBorder="1" applyAlignment="1">
      <alignment horizontal="right" vertical="center" wrapText="1"/>
    </xf>
    <xf numFmtId="176" fontId="15" fillId="0" borderId="4" xfId="0" applyNumberFormat="1" applyFont="1" applyFill="1" applyBorder="1" applyAlignment="1">
      <alignment horizontal="right" vertical="center" wrapText="1"/>
    </xf>
    <xf numFmtId="176" fontId="27" fillId="0" borderId="4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center" wrapText="1"/>
    </xf>
    <xf numFmtId="176" fontId="0" fillId="0" borderId="0" xfId="0" applyNumberFormat="1" applyFill="1" applyAlignment="1">
      <alignment horizontal="right" wrapText="1"/>
    </xf>
    <xf numFmtId="0" fontId="27" fillId="0" borderId="0" xfId="0" applyFont="1" applyFill="1" applyAlignment="1">
      <alignment horizontal="left" vertical="center" shrinkToFit="1"/>
    </xf>
    <xf numFmtId="0" fontId="28" fillId="0" borderId="0" xfId="0" applyFont="1" applyFill="1" applyAlignment="1">
      <alignment horizontal="left" vertical="top" wrapText="1"/>
    </xf>
    <xf numFmtId="176" fontId="28" fillId="0" borderId="0" xfId="0" applyNumberFormat="1" applyFont="1" applyFill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shrinkToFit="1"/>
    </xf>
    <xf numFmtId="0" fontId="2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76" fontId="29" fillId="0" borderId="0" xfId="0" applyNumberFormat="1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176" fontId="12" fillId="0" borderId="8" xfId="0" applyNumberFormat="1" applyFont="1" applyFill="1" applyBorder="1" applyAlignment="1" applyProtection="1">
      <alignment horizontal="right" vertical="center"/>
      <protection locked="0"/>
    </xf>
    <xf numFmtId="176" fontId="12" fillId="0" borderId="8" xfId="0" applyNumberFormat="1" applyFont="1" applyFill="1" applyBorder="1" applyAlignment="1" applyProtection="1">
      <alignment horizontal="center" vertical="center"/>
      <protection locked="0"/>
    </xf>
    <xf numFmtId="10" fontId="13" fillId="0" borderId="4" xfId="0" applyNumberFormat="1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horizontal="left" vertical="center" shrinkToFit="1"/>
    </xf>
    <xf numFmtId="0" fontId="33" fillId="0" borderId="4" xfId="0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 applyProtection="1">
      <alignment horizontal="right" vertical="center"/>
      <protection locked="0"/>
    </xf>
    <xf numFmtId="176" fontId="16" fillId="0" borderId="4" xfId="0" applyNumberFormat="1" applyFont="1" applyFill="1" applyBorder="1" applyAlignment="1" applyProtection="1">
      <alignment horizontal="center" vertical="center"/>
      <protection locked="0"/>
    </xf>
    <xf numFmtId="176" fontId="16" fillId="0" borderId="8" xfId="0" applyNumberFormat="1" applyFont="1" applyFill="1" applyBorder="1" applyAlignment="1" applyProtection="1">
      <alignment horizontal="right" vertical="center"/>
      <protection locked="0"/>
    </xf>
    <xf numFmtId="10" fontId="7" fillId="0" borderId="4" xfId="0" applyNumberFormat="1" applyFont="1" applyFill="1" applyBorder="1" applyAlignment="1">
      <alignment horizontal="right" vertical="center" wrapText="1"/>
    </xf>
    <xf numFmtId="0" fontId="34" fillId="0" borderId="4" xfId="0" applyFont="1" applyFill="1" applyBorder="1" applyAlignment="1">
      <alignment horizontal="left" vertical="center" shrinkToFi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left" vertical="center" wrapText="1"/>
    </xf>
    <xf numFmtId="176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176" fontId="23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蔡家组团L、R标准分区道路工程横二路R区段概算总表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  <cellStyle name="常规_造价对比分析表" xfId="9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pane ySplit="6" topLeftCell="A7" activePane="bottomLeft" state="frozen"/>
      <selection/>
      <selection pane="bottomLeft" activeCell="A3" sqref="A3:H3"/>
    </sheetView>
  </sheetViews>
  <sheetFormatPr defaultColWidth="9" defaultRowHeight="18.75" customHeight="1" outlineLevelCol="7"/>
  <cols>
    <col min="1" max="1" width="7" style="7" customWidth="1"/>
    <col min="2" max="2" width="18.375" style="68" customWidth="1"/>
    <col min="3" max="3" width="9.5" style="69" customWidth="1"/>
    <col min="4" max="4" width="8.9" style="69" customWidth="1"/>
    <col min="5" max="5" width="8.25" style="70" customWidth="1"/>
    <col min="6" max="6" width="9.875" style="71" customWidth="1"/>
    <col min="7" max="7" width="9.25" style="69" customWidth="1"/>
    <col min="8" max="8" width="19.6" style="72" customWidth="1"/>
    <col min="9" max="16384" width="9" style="7"/>
  </cols>
  <sheetData>
    <row r="1" ht="23" customHeight="1" spans="1:8">
      <c r="A1" s="73" t="s">
        <v>0</v>
      </c>
      <c r="B1" s="73"/>
      <c r="C1" s="73"/>
      <c r="D1" s="73"/>
      <c r="E1" s="73"/>
      <c r="F1" s="74"/>
      <c r="G1" s="73"/>
      <c r="H1" s="75"/>
    </row>
    <row r="2" ht="30" customHeight="1" spans="1:8">
      <c r="A2" s="76" t="s">
        <v>1</v>
      </c>
      <c r="B2" s="77"/>
      <c r="C2" s="76"/>
      <c r="D2" s="76"/>
      <c r="E2" s="76"/>
      <c r="F2" s="78"/>
      <c r="G2" s="76"/>
      <c r="H2" s="79"/>
    </row>
    <row r="3" ht="30" customHeight="1" spans="1:8">
      <c r="A3" s="80" t="s">
        <v>2</v>
      </c>
      <c r="B3" s="80"/>
      <c r="C3" s="80"/>
      <c r="D3" s="80"/>
      <c r="E3" s="81"/>
      <c r="F3" s="82"/>
      <c r="G3" s="80"/>
      <c r="H3" s="83"/>
    </row>
    <row r="4" s="67" customFormat="1" ht="30" customHeight="1" spans="1:8">
      <c r="A4" s="81" t="s">
        <v>3</v>
      </c>
      <c r="B4" s="80" t="s">
        <v>4</v>
      </c>
      <c r="C4" s="81" t="s">
        <v>5</v>
      </c>
      <c r="D4" s="81" t="s">
        <v>6</v>
      </c>
      <c r="E4" s="81"/>
      <c r="F4" s="38" t="s">
        <v>6</v>
      </c>
      <c r="G4" s="81" t="s">
        <v>7</v>
      </c>
      <c r="H4" s="84" t="s">
        <v>8</v>
      </c>
    </row>
    <row r="5" s="67" customFormat="1" ht="41" customHeight="1" spans="1:8">
      <c r="A5" s="81" t="s">
        <v>6</v>
      </c>
      <c r="B5" s="80" t="s">
        <v>6</v>
      </c>
      <c r="C5" s="81" t="s">
        <v>9</v>
      </c>
      <c r="D5" s="81" t="s">
        <v>10</v>
      </c>
      <c r="E5" s="81" t="s">
        <v>11</v>
      </c>
      <c r="F5" s="38" t="s">
        <v>12</v>
      </c>
      <c r="G5" s="81" t="s">
        <v>6</v>
      </c>
      <c r="H5" s="84"/>
    </row>
    <row r="6" ht="20" customHeight="1" spans="1:8">
      <c r="A6" s="85" t="s">
        <v>13</v>
      </c>
      <c r="B6" s="86" t="s">
        <v>14</v>
      </c>
      <c r="C6" s="87">
        <f>C7+C12+C16+C20+C23</f>
        <v>3009.33</v>
      </c>
      <c r="D6" s="87">
        <f>D7+D12+D16+D20+D23</f>
        <v>90.68</v>
      </c>
      <c r="E6" s="88"/>
      <c r="F6" s="87">
        <f>C6+D6</f>
        <v>3100.01</v>
      </c>
      <c r="G6" s="89"/>
      <c r="H6" s="90"/>
    </row>
    <row r="7" ht="20" customHeight="1" spans="1:8">
      <c r="A7" s="91" t="s">
        <v>15</v>
      </c>
      <c r="B7" s="80" t="s">
        <v>16</v>
      </c>
      <c r="C7" s="92">
        <f>SUM(C8:C11)</f>
        <v>1178.87</v>
      </c>
      <c r="D7" s="92">
        <f>SUM(D8:D11)</f>
        <v>19.91</v>
      </c>
      <c r="E7" s="93"/>
      <c r="F7" s="94">
        <f t="shared" ref="F7:F26" si="0">C7+D7</f>
        <v>1198.78</v>
      </c>
      <c r="G7" s="95"/>
      <c r="H7" s="96"/>
    </row>
    <row r="8" ht="20" customHeight="1" spans="1:8">
      <c r="A8" s="91" t="s">
        <v>17</v>
      </c>
      <c r="B8" s="80" t="s">
        <v>18</v>
      </c>
      <c r="C8" s="92">
        <v>863.02</v>
      </c>
      <c r="D8" s="92"/>
      <c r="E8" s="93"/>
      <c r="F8" s="94">
        <f t="shared" si="0"/>
        <v>863.02</v>
      </c>
      <c r="G8" s="95"/>
      <c r="H8" s="96"/>
    </row>
    <row r="9" ht="20" customHeight="1" spans="1:8">
      <c r="A9" s="91" t="s">
        <v>19</v>
      </c>
      <c r="B9" s="80" t="s">
        <v>20</v>
      </c>
      <c r="C9" s="92">
        <v>219.82</v>
      </c>
      <c r="D9" s="92"/>
      <c r="E9" s="93"/>
      <c r="F9" s="94">
        <f t="shared" si="0"/>
        <v>219.82</v>
      </c>
      <c r="G9" s="95"/>
      <c r="H9" s="96"/>
    </row>
    <row r="10" ht="20" customHeight="1" spans="1:8">
      <c r="A10" s="91" t="s">
        <v>21</v>
      </c>
      <c r="B10" s="80" t="s">
        <v>22</v>
      </c>
      <c r="C10" s="92">
        <v>96.03</v>
      </c>
      <c r="D10" s="92"/>
      <c r="E10" s="93"/>
      <c r="F10" s="94">
        <f t="shared" si="0"/>
        <v>96.03</v>
      </c>
      <c r="G10" s="95"/>
      <c r="H10" s="96"/>
    </row>
    <row r="11" ht="20" customHeight="1" spans="1:8">
      <c r="A11" s="91" t="s">
        <v>23</v>
      </c>
      <c r="B11" s="80" t="s">
        <v>24</v>
      </c>
      <c r="C11" s="92"/>
      <c r="D11" s="92">
        <v>19.91</v>
      </c>
      <c r="E11" s="93"/>
      <c r="F11" s="94">
        <f t="shared" si="0"/>
        <v>19.91</v>
      </c>
      <c r="G11" s="95"/>
      <c r="H11" s="96"/>
    </row>
    <row r="12" ht="20" customHeight="1" spans="1:8">
      <c r="A12" s="91" t="s">
        <v>25</v>
      </c>
      <c r="B12" s="80" t="s">
        <v>26</v>
      </c>
      <c r="C12" s="92">
        <f>SUM(C13:C15)</f>
        <v>367.38</v>
      </c>
      <c r="D12" s="92">
        <f>SUM(D13:D15)</f>
        <v>24.96</v>
      </c>
      <c r="E12" s="93"/>
      <c r="F12" s="94">
        <f t="shared" si="0"/>
        <v>392.34</v>
      </c>
      <c r="G12" s="95"/>
      <c r="H12" s="96"/>
    </row>
    <row r="13" ht="20" customHeight="1" spans="1:8">
      <c r="A13" s="91" t="s">
        <v>27</v>
      </c>
      <c r="B13" s="80" t="s">
        <v>18</v>
      </c>
      <c r="C13" s="92">
        <v>314.24</v>
      </c>
      <c r="D13" s="92"/>
      <c r="E13" s="93"/>
      <c r="F13" s="94">
        <f t="shared" si="0"/>
        <v>314.24</v>
      </c>
      <c r="G13" s="95"/>
      <c r="H13" s="96"/>
    </row>
    <row r="14" ht="20" customHeight="1" spans="1:8">
      <c r="A14" s="91" t="s">
        <v>28</v>
      </c>
      <c r="B14" s="80" t="s">
        <v>20</v>
      </c>
      <c r="C14" s="92">
        <v>53.14</v>
      </c>
      <c r="D14" s="92"/>
      <c r="E14" s="93"/>
      <c r="F14" s="94">
        <f t="shared" si="0"/>
        <v>53.14</v>
      </c>
      <c r="G14" s="95"/>
      <c r="H14" s="96"/>
    </row>
    <row r="15" ht="20" customHeight="1" spans="1:8">
      <c r="A15" s="91" t="s">
        <v>29</v>
      </c>
      <c r="B15" s="80" t="s">
        <v>30</v>
      </c>
      <c r="C15" s="92"/>
      <c r="D15" s="92">
        <v>24.96</v>
      </c>
      <c r="E15" s="93"/>
      <c r="F15" s="94">
        <f t="shared" si="0"/>
        <v>24.96</v>
      </c>
      <c r="G15" s="95"/>
      <c r="H15" s="96"/>
    </row>
    <row r="16" ht="20" customHeight="1" spans="1:8">
      <c r="A16" s="91" t="s">
        <v>31</v>
      </c>
      <c r="B16" s="80" t="s">
        <v>32</v>
      </c>
      <c r="C16" s="92">
        <f>SUM(C17:C19)</f>
        <v>312.35</v>
      </c>
      <c r="D16" s="92">
        <f>SUM(D17:D19)</f>
        <v>8.38</v>
      </c>
      <c r="E16" s="93"/>
      <c r="F16" s="94">
        <f t="shared" si="0"/>
        <v>320.73</v>
      </c>
      <c r="G16" s="95"/>
      <c r="H16" s="96"/>
    </row>
    <row r="17" ht="20" customHeight="1" spans="1:8">
      <c r="A17" s="91" t="s">
        <v>33</v>
      </c>
      <c r="B17" s="80" t="s">
        <v>18</v>
      </c>
      <c r="C17" s="92">
        <v>265.23</v>
      </c>
      <c r="D17" s="92"/>
      <c r="E17" s="93"/>
      <c r="F17" s="94">
        <f t="shared" si="0"/>
        <v>265.23</v>
      </c>
      <c r="G17" s="95"/>
      <c r="H17" s="96"/>
    </row>
    <row r="18" ht="20" customHeight="1" spans="1:8">
      <c r="A18" s="91" t="s">
        <v>34</v>
      </c>
      <c r="B18" s="80" t="s">
        <v>20</v>
      </c>
      <c r="C18" s="92">
        <v>47.12</v>
      </c>
      <c r="D18" s="92"/>
      <c r="E18" s="93"/>
      <c r="F18" s="94">
        <f t="shared" si="0"/>
        <v>47.12</v>
      </c>
      <c r="G18" s="95"/>
      <c r="H18" s="96"/>
    </row>
    <row r="19" ht="20" customHeight="1" spans="1:8">
      <c r="A19" s="91" t="s">
        <v>35</v>
      </c>
      <c r="B19" s="80" t="s">
        <v>24</v>
      </c>
      <c r="C19" s="92"/>
      <c r="D19" s="92">
        <v>8.38</v>
      </c>
      <c r="E19" s="93"/>
      <c r="F19" s="94">
        <f t="shared" si="0"/>
        <v>8.38</v>
      </c>
      <c r="G19" s="95"/>
      <c r="H19" s="96"/>
    </row>
    <row r="20" ht="24" spans="1:8">
      <c r="A20" s="91" t="s">
        <v>36</v>
      </c>
      <c r="B20" s="80" t="s">
        <v>37</v>
      </c>
      <c r="C20" s="92">
        <f>SUM(C21:C22)</f>
        <v>628.41</v>
      </c>
      <c r="D20" s="92">
        <f>SUM(D21:D22)</f>
        <v>0</v>
      </c>
      <c r="E20" s="93"/>
      <c r="F20" s="94">
        <f t="shared" si="0"/>
        <v>628.41</v>
      </c>
      <c r="G20" s="95"/>
      <c r="H20" s="96"/>
    </row>
    <row r="21" ht="20" customHeight="1" spans="1:8">
      <c r="A21" s="91" t="s">
        <v>38</v>
      </c>
      <c r="B21" s="80" t="s">
        <v>18</v>
      </c>
      <c r="C21" s="92">
        <v>411.43</v>
      </c>
      <c r="D21" s="92"/>
      <c r="E21" s="93"/>
      <c r="F21" s="94">
        <f t="shared" si="0"/>
        <v>411.43</v>
      </c>
      <c r="G21" s="95"/>
      <c r="H21" s="96"/>
    </row>
    <row r="22" ht="20" customHeight="1" spans="1:8">
      <c r="A22" s="91" t="s">
        <v>39</v>
      </c>
      <c r="B22" s="80" t="s">
        <v>20</v>
      </c>
      <c r="C22" s="92">
        <v>216.98</v>
      </c>
      <c r="D22" s="92"/>
      <c r="E22" s="93"/>
      <c r="F22" s="94">
        <f t="shared" si="0"/>
        <v>216.98</v>
      </c>
      <c r="G22" s="95"/>
      <c r="H22" s="96"/>
    </row>
    <row r="23" ht="20" customHeight="1" spans="1:8">
      <c r="A23" s="91" t="s">
        <v>40</v>
      </c>
      <c r="B23" s="80" t="s">
        <v>41</v>
      </c>
      <c r="C23" s="92">
        <f>SUM(C24:C26)</f>
        <v>522.32</v>
      </c>
      <c r="D23" s="92">
        <f>SUM(D24:D26)</f>
        <v>37.43</v>
      </c>
      <c r="E23" s="93"/>
      <c r="F23" s="94">
        <f t="shared" si="0"/>
        <v>559.75</v>
      </c>
      <c r="G23" s="95"/>
      <c r="H23" s="96"/>
    </row>
    <row r="24" ht="20" customHeight="1" spans="1:8">
      <c r="A24" s="91" t="s">
        <v>42</v>
      </c>
      <c r="B24" s="80" t="s">
        <v>18</v>
      </c>
      <c r="C24" s="92">
        <v>155.73</v>
      </c>
      <c r="D24" s="92"/>
      <c r="E24" s="93"/>
      <c r="F24" s="94">
        <f t="shared" si="0"/>
        <v>155.73</v>
      </c>
      <c r="G24" s="95"/>
      <c r="H24" s="96"/>
    </row>
    <row r="25" ht="20" customHeight="1" spans="1:8">
      <c r="A25" s="91" t="s">
        <v>43</v>
      </c>
      <c r="B25" s="80" t="s">
        <v>20</v>
      </c>
      <c r="C25" s="92">
        <v>366.59</v>
      </c>
      <c r="D25" s="92"/>
      <c r="E25" s="93"/>
      <c r="F25" s="94">
        <f t="shared" si="0"/>
        <v>366.59</v>
      </c>
      <c r="G25" s="95"/>
      <c r="H25" s="96"/>
    </row>
    <row r="26" ht="20" customHeight="1" spans="1:8">
      <c r="A26" s="91" t="s">
        <v>44</v>
      </c>
      <c r="B26" s="35" t="s">
        <v>24</v>
      </c>
      <c r="C26" s="59"/>
      <c r="D26" s="59">
        <v>37.43</v>
      </c>
      <c r="E26" s="46"/>
      <c r="F26" s="94">
        <f t="shared" si="0"/>
        <v>37.43</v>
      </c>
      <c r="G26" s="89"/>
      <c r="H26" s="97"/>
    </row>
    <row r="27" ht="20" customHeight="1" spans="1:8">
      <c r="A27" s="43" t="s">
        <v>45</v>
      </c>
      <c r="B27" s="44" t="s">
        <v>46</v>
      </c>
      <c r="C27" s="46"/>
      <c r="D27" s="98"/>
      <c r="E27" s="46">
        <f>E28+E31</f>
        <v>934.54</v>
      </c>
      <c r="F27" s="46">
        <f t="shared" ref="F27:F39" si="1">E27</f>
        <v>934.54</v>
      </c>
      <c r="G27" s="89"/>
      <c r="H27" s="97" t="s">
        <v>47</v>
      </c>
    </row>
    <row r="28" ht="20" customHeight="1" spans="1:8">
      <c r="A28" s="48" t="s">
        <v>48</v>
      </c>
      <c r="B28" s="49" t="s">
        <v>49</v>
      </c>
      <c r="C28" s="46"/>
      <c r="D28" s="98"/>
      <c r="E28" s="46">
        <f>E29+E30</f>
        <v>697.5</v>
      </c>
      <c r="F28" s="46">
        <f t="shared" si="1"/>
        <v>697.5</v>
      </c>
      <c r="G28" s="89"/>
      <c r="H28" s="99" t="s">
        <v>50</v>
      </c>
    </row>
    <row r="29" ht="20" customHeight="1" spans="1:8">
      <c r="A29" s="52">
        <v>1</v>
      </c>
      <c r="B29" s="53" t="s">
        <v>51</v>
      </c>
      <c r="C29" s="59"/>
      <c r="D29" s="100"/>
      <c r="E29" s="59">
        <v>682</v>
      </c>
      <c r="F29" s="59">
        <f t="shared" si="1"/>
        <v>682</v>
      </c>
      <c r="G29" s="95"/>
      <c r="H29" s="101" t="s">
        <v>52</v>
      </c>
    </row>
    <row r="30" ht="20" customHeight="1" spans="1:8">
      <c r="A30" s="52" t="s">
        <v>25</v>
      </c>
      <c r="B30" s="53" t="s">
        <v>53</v>
      </c>
      <c r="C30" s="102"/>
      <c r="D30" s="103"/>
      <c r="E30" s="59">
        <f>ROUND(F6*0.5%,2)</f>
        <v>15.5</v>
      </c>
      <c r="F30" s="59">
        <f t="shared" si="1"/>
        <v>15.5</v>
      </c>
      <c r="G30" s="95"/>
      <c r="H30" s="104" t="s">
        <v>54</v>
      </c>
    </row>
    <row r="31" ht="24" spans="1:8">
      <c r="A31" s="48" t="s">
        <v>55</v>
      </c>
      <c r="B31" s="49" t="s">
        <v>56</v>
      </c>
      <c r="C31" s="105"/>
      <c r="D31" s="106"/>
      <c r="E31" s="46">
        <f>E32+E33+E34+E35+E36+E42+E43+E44+E53+E54</f>
        <v>237.04</v>
      </c>
      <c r="F31" s="46">
        <f t="shared" si="1"/>
        <v>237.04</v>
      </c>
      <c r="G31" s="89"/>
      <c r="H31" s="107" t="s">
        <v>57</v>
      </c>
    </row>
    <row r="32" ht="20" customHeight="1" spans="1:8">
      <c r="A32" s="52">
        <v>1</v>
      </c>
      <c r="B32" s="54" t="s">
        <v>58</v>
      </c>
      <c r="C32" s="105"/>
      <c r="D32" s="106"/>
      <c r="E32" s="59">
        <f>ROUND(20+(5000-F6)*1.5%,2)</f>
        <v>48.5</v>
      </c>
      <c r="F32" s="59">
        <f t="shared" si="1"/>
        <v>48.5</v>
      </c>
      <c r="G32" s="95"/>
      <c r="H32" s="101" t="s">
        <v>59</v>
      </c>
    </row>
    <row r="33" ht="20" customHeight="1" spans="1:8">
      <c r="A33" s="55" t="s">
        <v>25</v>
      </c>
      <c r="B33" s="53" t="s">
        <v>60</v>
      </c>
      <c r="C33" s="105"/>
      <c r="D33" s="106"/>
      <c r="E33" s="59">
        <f>ROUND(79.18*0.8*0.85*80%,2)</f>
        <v>43.07</v>
      </c>
      <c r="F33" s="59">
        <f t="shared" si="1"/>
        <v>43.07</v>
      </c>
      <c r="G33" s="95"/>
      <c r="H33" s="101" t="s">
        <v>59</v>
      </c>
    </row>
    <row r="34" ht="20" customHeight="1" spans="1:8">
      <c r="A34" s="55" t="s">
        <v>31</v>
      </c>
      <c r="B34" s="53" t="s">
        <v>61</v>
      </c>
      <c r="C34" s="105"/>
      <c r="D34" s="106"/>
      <c r="E34" s="59">
        <f>ROUND((100*1%+400*0.7%+500*0.55%+(5000-F6)*0.35%)*0.8,2)</f>
        <v>10.56</v>
      </c>
      <c r="F34" s="59">
        <f t="shared" si="1"/>
        <v>10.56</v>
      </c>
      <c r="G34" s="95"/>
      <c r="H34" s="101" t="s">
        <v>59</v>
      </c>
    </row>
    <row r="35" ht="20" customHeight="1" spans="1:8">
      <c r="A35" s="55" t="s">
        <v>36</v>
      </c>
      <c r="B35" s="53" t="s">
        <v>62</v>
      </c>
      <c r="C35" s="105"/>
      <c r="D35" s="106"/>
      <c r="E35" s="59">
        <f>ROUND(F6*0.17%*0.3,2)</f>
        <v>1.58</v>
      </c>
      <c r="F35" s="59">
        <f t="shared" si="1"/>
        <v>1.58</v>
      </c>
      <c r="G35" s="95"/>
      <c r="H35" s="101" t="s">
        <v>63</v>
      </c>
    </row>
    <row r="36" ht="20" customHeight="1" spans="1:8">
      <c r="A36" s="55" t="s">
        <v>40</v>
      </c>
      <c r="B36" s="53" t="s">
        <v>64</v>
      </c>
      <c r="C36" s="105"/>
      <c r="D36" s="106"/>
      <c r="E36" s="59">
        <f>SUM(E37:E41)</f>
        <v>4.35</v>
      </c>
      <c r="F36" s="59">
        <f t="shared" si="1"/>
        <v>4.35</v>
      </c>
      <c r="G36" s="95"/>
      <c r="H36" s="101" t="s">
        <v>65</v>
      </c>
    </row>
    <row r="37" ht="20" customHeight="1" spans="1:8">
      <c r="A37" s="55" t="s">
        <v>42</v>
      </c>
      <c r="B37" s="54" t="s">
        <v>66</v>
      </c>
      <c r="C37" s="105"/>
      <c r="D37" s="106"/>
      <c r="E37" s="59">
        <v>0</v>
      </c>
      <c r="F37" s="59">
        <f t="shared" ref="F37:F41" si="2">E37</f>
        <v>0</v>
      </c>
      <c r="G37" s="95"/>
      <c r="H37" s="101" t="s">
        <v>67</v>
      </c>
    </row>
    <row r="38" ht="20" customHeight="1" spans="1:8">
      <c r="A38" s="55" t="s">
        <v>43</v>
      </c>
      <c r="B38" s="53" t="s">
        <v>68</v>
      </c>
      <c r="C38" s="105"/>
      <c r="D38" s="106"/>
      <c r="E38" s="59">
        <v>3</v>
      </c>
      <c r="F38" s="59">
        <f t="shared" si="2"/>
        <v>3</v>
      </c>
      <c r="G38" s="95"/>
      <c r="H38" s="101" t="s">
        <v>69</v>
      </c>
    </row>
    <row r="39" ht="20" customHeight="1" spans="1:8">
      <c r="A39" s="55" t="s">
        <v>44</v>
      </c>
      <c r="B39" s="53" t="s">
        <v>70</v>
      </c>
      <c r="C39" s="105"/>
      <c r="D39" s="106"/>
      <c r="E39" s="59">
        <v>0</v>
      </c>
      <c r="F39" s="59">
        <f t="shared" si="2"/>
        <v>0</v>
      </c>
      <c r="G39" s="95"/>
      <c r="H39" s="101" t="s">
        <v>67</v>
      </c>
    </row>
    <row r="40" ht="20" customHeight="1" spans="1:8">
      <c r="A40" s="55" t="s">
        <v>71</v>
      </c>
      <c r="B40" s="53" t="s">
        <v>72</v>
      </c>
      <c r="C40" s="105"/>
      <c r="D40" s="106"/>
      <c r="E40" s="59">
        <v>0</v>
      </c>
      <c r="F40" s="59">
        <f t="shared" si="2"/>
        <v>0</v>
      </c>
      <c r="G40" s="95"/>
      <c r="H40" s="101" t="s">
        <v>67</v>
      </c>
    </row>
    <row r="41" ht="54" customHeight="1" spans="1:8">
      <c r="A41" s="55" t="s">
        <v>73</v>
      </c>
      <c r="B41" s="53" t="s">
        <v>74</v>
      </c>
      <c r="C41" s="105"/>
      <c r="D41" s="106"/>
      <c r="E41" s="59">
        <f>ROUND(F38*30%,2)+0.9*0.5</f>
        <v>1.35</v>
      </c>
      <c r="F41" s="59">
        <f t="shared" si="2"/>
        <v>1.35</v>
      </c>
      <c r="G41" s="95"/>
      <c r="H41" s="101" t="s">
        <v>75</v>
      </c>
    </row>
    <row r="42" ht="20" customHeight="1" spans="1:8">
      <c r="A42" s="55" t="s">
        <v>76</v>
      </c>
      <c r="B42" s="53" t="s">
        <v>77</v>
      </c>
      <c r="C42" s="105"/>
      <c r="D42" s="106"/>
      <c r="E42" s="59">
        <v>0</v>
      </c>
      <c r="F42" s="59">
        <f t="shared" ref="F42:F48" si="3">E42</f>
        <v>0</v>
      </c>
      <c r="G42" s="95"/>
      <c r="H42" s="101" t="s">
        <v>67</v>
      </c>
    </row>
    <row r="43" ht="20" customHeight="1" spans="1:8">
      <c r="A43" s="55" t="s">
        <v>78</v>
      </c>
      <c r="B43" s="53" t="s">
        <v>79</v>
      </c>
      <c r="C43" s="105"/>
      <c r="D43" s="106"/>
      <c r="E43" s="59">
        <f>35+21.23</f>
        <v>56.23</v>
      </c>
      <c r="F43" s="59">
        <f t="shared" si="3"/>
        <v>56.23</v>
      </c>
      <c r="G43" s="95"/>
      <c r="H43" s="101" t="s">
        <v>69</v>
      </c>
    </row>
    <row r="44" ht="20" customHeight="1" spans="1:8">
      <c r="A44" s="55" t="s">
        <v>80</v>
      </c>
      <c r="B44" s="53" t="s">
        <v>81</v>
      </c>
      <c r="C44" s="105"/>
      <c r="D44" s="106"/>
      <c r="E44" s="59">
        <f>E45+E48</f>
        <v>47.95</v>
      </c>
      <c r="F44" s="59">
        <f t="shared" si="3"/>
        <v>47.95</v>
      </c>
      <c r="G44" s="95"/>
      <c r="H44" s="101" t="s">
        <v>82</v>
      </c>
    </row>
    <row r="45" ht="20" customHeight="1" spans="1:8">
      <c r="A45" s="55" t="s">
        <v>83</v>
      </c>
      <c r="B45" s="53" t="s">
        <v>84</v>
      </c>
      <c r="C45" s="105"/>
      <c r="D45" s="106"/>
      <c r="E45" s="59">
        <f>SUM(E46:E47)</f>
        <v>5.47</v>
      </c>
      <c r="F45" s="59">
        <f t="shared" ref="F45:F57" si="4">E45</f>
        <v>5.47</v>
      </c>
      <c r="G45" s="95"/>
      <c r="H45" s="101" t="s">
        <v>85</v>
      </c>
    </row>
    <row r="46" ht="20" customHeight="1" spans="1:8">
      <c r="A46" s="55" t="s">
        <v>86</v>
      </c>
      <c r="B46" s="53" t="s">
        <v>87</v>
      </c>
      <c r="C46" s="105"/>
      <c r="D46" s="106"/>
      <c r="E46" s="59">
        <v>0</v>
      </c>
      <c r="F46" s="59">
        <f t="shared" si="3"/>
        <v>0</v>
      </c>
      <c r="G46" s="95"/>
      <c r="H46" s="101" t="s">
        <v>67</v>
      </c>
    </row>
    <row r="47" ht="20" customHeight="1" spans="1:8">
      <c r="A47" s="55" t="s">
        <v>88</v>
      </c>
      <c r="B47" s="53" t="s">
        <v>89</v>
      </c>
      <c r="C47" s="105"/>
      <c r="D47" s="106"/>
      <c r="E47" s="59">
        <f>ROUND(1000*0.19%+(F6-1000)*0.17%,2)</f>
        <v>5.47</v>
      </c>
      <c r="F47" s="59">
        <f t="shared" si="3"/>
        <v>5.47</v>
      </c>
      <c r="G47" s="95"/>
      <c r="H47" s="101" t="s">
        <v>90</v>
      </c>
    </row>
    <row r="48" ht="20" customHeight="1" spans="1:8">
      <c r="A48" s="55" t="s">
        <v>91</v>
      </c>
      <c r="B48" s="53" t="s">
        <v>92</v>
      </c>
      <c r="C48" s="105"/>
      <c r="D48" s="106"/>
      <c r="E48" s="59">
        <f>E49+E50+E51+E52</f>
        <v>42.48</v>
      </c>
      <c r="F48" s="59">
        <f t="shared" si="3"/>
        <v>42.48</v>
      </c>
      <c r="G48" s="95"/>
      <c r="H48" s="101" t="s">
        <v>93</v>
      </c>
    </row>
    <row r="49" ht="20" customHeight="1" spans="1:8">
      <c r="A49" s="55" t="s">
        <v>94</v>
      </c>
      <c r="B49" s="53" t="s">
        <v>95</v>
      </c>
      <c r="C49" s="105"/>
      <c r="D49" s="106"/>
      <c r="E49" s="59">
        <v>0</v>
      </c>
      <c r="F49" s="59">
        <f t="shared" si="4"/>
        <v>0</v>
      </c>
      <c r="G49" s="95"/>
      <c r="H49" s="101" t="s">
        <v>96</v>
      </c>
    </row>
    <row r="50" ht="26" customHeight="1" spans="1:8">
      <c r="A50" s="55" t="s">
        <v>97</v>
      </c>
      <c r="B50" s="53" t="s">
        <v>98</v>
      </c>
      <c r="C50" s="105"/>
      <c r="D50" s="106"/>
      <c r="E50" s="59">
        <f>ROUND((500*0.4%+500*0.35%+(F6-1000)*0.3%)*0.8*2,2)</f>
        <v>16.08</v>
      </c>
      <c r="F50" s="59">
        <f t="shared" si="4"/>
        <v>16.08</v>
      </c>
      <c r="G50" s="95"/>
      <c r="H50" s="101" t="s">
        <v>99</v>
      </c>
    </row>
    <row r="51" ht="33.75" spans="1:8">
      <c r="A51" s="55" t="s">
        <v>100</v>
      </c>
      <c r="B51" s="53" t="s">
        <v>101</v>
      </c>
      <c r="C51" s="105"/>
      <c r="D51" s="106"/>
      <c r="E51" s="59">
        <v>0</v>
      </c>
      <c r="F51" s="59">
        <f t="shared" si="4"/>
        <v>0</v>
      </c>
      <c r="G51" s="95"/>
      <c r="H51" s="101" t="s">
        <v>102</v>
      </c>
    </row>
    <row r="52" ht="24" spans="1:8">
      <c r="A52" s="55" t="s">
        <v>103</v>
      </c>
      <c r="B52" s="53" t="s">
        <v>104</v>
      </c>
      <c r="C52" s="105"/>
      <c r="D52" s="106"/>
      <c r="E52" s="59">
        <f>ROUND((500*1.3%+500*1.1%+(F6-1000)*1%)*0.8,2)</f>
        <v>26.4</v>
      </c>
      <c r="F52" s="59">
        <f t="shared" si="4"/>
        <v>26.4</v>
      </c>
      <c r="G52" s="95"/>
      <c r="H52" s="101" t="s">
        <v>99</v>
      </c>
    </row>
    <row r="53" ht="20" customHeight="1" spans="1:8">
      <c r="A53" s="55" t="s">
        <v>105</v>
      </c>
      <c r="B53" s="53" t="s">
        <v>106</v>
      </c>
      <c r="C53" s="105"/>
      <c r="D53" s="106"/>
      <c r="E53" s="59">
        <f>ROUND(F6*0.3%,2)</f>
        <v>9.3</v>
      </c>
      <c r="F53" s="59">
        <f t="shared" si="4"/>
        <v>9.3</v>
      </c>
      <c r="G53" s="95"/>
      <c r="H53" s="104" t="s">
        <v>107</v>
      </c>
    </row>
    <row r="54" ht="20" customHeight="1" spans="1:8">
      <c r="A54" s="55" t="s">
        <v>108</v>
      </c>
      <c r="B54" s="53" t="s">
        <v>109</v>
      </c>
      <c r="C54" s="105"/>
      <c r="D54" s="106"/>
      <c r="E54" s="59">
        <f>ROUND(F6*0.5%,2)</f>
        <v>15.5</v>
      </c>
      <c r="F54" s="59">
        <f t="shared" si="4"/>
        <v>15.5</v>
      </c>
      <c r="G54" s="95"/>
      <c r="H54" s="104" t="s">
        <v>54</v>
      </c>
    </row>
    <row r="55" ht="20" customHeight="1" spans="1:8">
      <c r="A55" s="43" t="s">
        <v>110</v>
      </c>
      <c r="B55" s="44" t="s">
        <v>111</v>
      </c>
      <c r="C55" s="105"/>
      <c r="D55" s="106"/>
      <c r="E55" s="46">
        <f>E56</f>
        <v>167.63</v>
      </c>
      <c r="F55" s="46">
        <f t="shared" si="4"/>
        <v>167.63</v>
      </c>
      <c r="G55" s="95"/>
      <c r="H55" s="101"/>
    </row>
    <row r="56" ht="20" customHeight="1" spans="1:8">
      <c r="A56" s="58">
        <v>1</v>
      </c>
      <c r="B56" s="35" t="s">
        <v>112</v>
      </c>
      <c r="C56" s="105"/>
      <c r="D56" s="106"/>
      <c r="E56" s="59">
        <f>ROUND((F6+F27-F29)*5%,2)</f>
        <v>167.63</v>
      </c>
      <c r="F56" s="59">
        <f t="shared" si="4"/>
        <v>167.63</v>
      </c>
      <c r="G56" s="95"/>
      <c r="H56" s="101" t="s">
        <v>113</v>
      </c>
    </row>
    <row r="57" ht="20" customHeight="1" spans="1:8">
      <c r="A57" s="43" t="s">
        <v>114</v>
      </c>
      <c r="B57" s="44" t="s">
        <v>115</v>
      </c>
      <c r="C57" s="105"/>
      <c r="D57" s="106"/>
      <c r="E57" s="59">
        <f>F6+F27+F55</f>
        <v>4202.18</v>
      </c>
      <c r="F57" s="59">
        <f t="shared" si="4"/>
        <v>4202.18</v>
      </c>
      <c r="G57" s="95"/>
      <c r="H57" s="101"/>
    </row>
  </sheetData>
  <mergeCells count="8">
    <mergeCell ref="A1:H1"/>
    <mergeCell ref="A2:H2"/>
    <mergeCell ref="A3:H3"/>
    <mergeCell ref="C4:F4"/>
    <mergeCell ref="A4:A5"/>
    <mergeCell ref="B4:B5"/>
    <mergeCell ref="G4:G5"/>
    <mergeCell ref="H4:H5"/>
  </mergeCells>
  <printOptions horizontalCentered="1"/>
  <pageMargins left="0.393055555555556" right="0.393055555555556" top="0.354166666666667" bottom="0.511805555555556" header="0.313888888888889" footer="0.313888888888889"/>
  <pageSetup paperSize="9" scale="95" orientation="portrait"/>
  <headerFooter>
    <oddFooter>&amp;C第 &amp;P 页，共 &amp;N 页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zoomScaleSheetLayoutView="115" workbookViewId="0">
      <pane ySplit="5" topLeftCell="A6" activePane="bottomLeft" state="frozen"/>
      <selection/>
      <selection pane="bottomLeft" activeCell="I10" sqref="I10"/>
    </sheetView>
  </sheetViews>
  <sheetFormatPr defaultColWidth="9" defaultRowHeight="18.75" customHeight="1"/>
  <cols>
    <col min="1" max="1" width="6.25" style="9" customWidth="1"/>
    <col min="2" max="2" width="22.625" style="10" customWidth="1"/>
    <col min="3" max="3" width="7.25" style="11" customWidth="1"/>
    <col min="4" max="4" width="9.5" style="7" customWidth="1"/>
    <col min="5" max="5" width="9.2" style="7" customWidth="1"/>
    <col min="6" max="6" width="9.2" style="12" customWidth="1"/>
    <col min="7" max="7" width="9.5" style="13" customWidth="1"/>
    <col min="8" max="8" width="9.5" style="14" customWidth="1"/>
    <col min="9" max="10" width="9.2" style="14" customWidth="1"/>
    <col min="11" max="11" width="9.5" style="14" customWidth="1"/>
    <col min="12" max="12" width="8.5" style="14" customWidth="1"/>
    <col min="13" max="13" width="15.7" style="7" customWidth="1"/>
    <col min="14" max="14" width="9" style="7" hidden="1" customWidth="1"/>
    <col min="15" max="16383" width="9" style="7"/>
  </cols>
  <sheetData>
    <row r="1" s="7" customFormat="1" ht="28.5" customHeight="1" spans="1:13">
      <c r="A1" s="15" t="s">
        <v>116</v>
      </c>
      <c r="B1" s="15"/>
      <c r="C1" s="15"/>
      <c r="D1" s="15"/>
      <c r="E1" s="15"/>
      <c r="F1" s="16"/>
      <c r="G1" s="15"/>
      <c r="H1" s="15"/>
      <c r="I1" s="15"/>
      <c r="J1" s="15"/>
      <c r="K1" s="15"/>
      <c r="L1" s="15"/>
      <c r="M1" s="15"/>
    </row>
    <row r="2" s="7" customFormat="1" ht="28.5" customHeight="1" spans="1:13">
      <c r="A2" s="17" t="s">
        <v>117</v>
      </c>
      <c r="B2" s="18"/>
      <c r="C2" s="17"/>
      <c r="D2" s="17"/>
      <c r="E2" s="17"/>
      <c r="F2" s="19"/>
      <c r="G2" s="17"/>
      <c r="H2" s="17"/>
      <c r="I2" s="17"/>
      <c r="J2" s="17"/>
      <c r="K2" s="17"/>
      <c r="L2" s="17"/>
      <c r="M2" s="17"/>
    </row>
    <row r="3" s="7" customFormat="1" ht="24.75" customHeight="1" spans="1:13">
      <c r="A3" s="20" t="s">
        <v>118</v>
      </c>
      <c r="B3" s="20"/>
      <c r="C3" s="21"/>
      <c r="D3" s="20"/>
      <c r="E3" s="20"/>
      <c r="F3" s="22"/>
      <c r="G3" s="21"/>
      <c r="H3" s="20"/>
      <c r="I3" s="20"/>
      <c r="J3" s="20"/>
      <c r="K3" s="20"/>
      <c r="L3" s="20"/>
      <c r="M3" s="20"/>
    </row>
    <row r="4" s="7" customFormat="1" ht="20" customHeight="1" spans="1:13">
      <c r="A4" s="23" t="s">
        <v>3</v>
      </c>
      <c r="B4" s="24" t="s">
        <v>4</v>
      </c>
      <c r="C4" s="25" t="s">
        <v>119</v>
      </c>
      <c r="D4" s="26" t="s">
        <v>120</v>
      </c>
      <c r="E4" s="26"/>
      <c r="F4" s="26"/>
      <c r="G4" s="26"/>
      <c r="H4" s="26" t="s">
        <v>121</v>
      </c>
      <c r="I4" s="26"/>
      <c r="J4" s="26"/>
      <c r="K4" s="26"/>
      <c r="L4" s="26" t="s">
        <v>122</v>
      </c>
      <c r="M4" s="61" t="s">
        <v>8</v>
      </c>
    </row>
    <row r="5" s="7" customFormat="1" ht="32" customHeight="1" spans="1:13">
      <c r="A5" s="23"/>
      <c r="B5" s="24"/>
      <c r="C5" s="25"/>
      <c r="D5" s="25" t="s">
        <v>123</v>
      </c>
      <c r="E5" s="25" t="s">
        <v>10</v>
      </c>
      <c r="F5" s="27" t="s">
        <v>11</v>
      </c>
      <c r="G5" s="26" t="s">
        <v>12</v>
      </c>
      <c r="H5" s="25" t="s">
        <v>123</v>
      </c>
      <c r="I5" s="25" t="s">
        <v>10</v>
      </c>
      <c r="J5" s="27" t="s">
        <v>11</v>
      </c>
      <c r="K5" s="26" t="s">
        <v>12</v>
      </c>
      <c r="L5" s="26"/>
      <c r="M5" s="61"/>
    </row>
    <row r="6" s="8" customFormat="1" ht="20" customHeight="1" spans="1:14">
      <c r="A6" s="28" t="s">
        <v>13</v>
      </c>
      <c r="B6" s="29" t="s">
        <v>124</v>
      </c>
      <c r="C6" s="30" t="s">
        <v>125</v>
      </c>
      <c r="D6" s="31">
        <f>D7+D12+D16+D20+D23</f>
        <v>3036.375463</v>
      </c>
      <c r="E6" s="31">
        <f>E7+E12+E16+E20+E23</f>
        <v>101.108236</v>
      </c>
      <c r="F6" s="32"/>
      <c r="G6" s="32">
        <f>D6+E6</f>
        <v>3137.483699</v>
      </c>
      <c r="H6" s="33">
        <f>汇总表!C6</f>
        <v>3009.33</v>
      </c>
      <c r="I6" s="33">
        <f>汇总表!D6</f>
        <v>90.68</v>
      </c>
      <c r="J6" s="33"/>
      <c r="K6" s="33">
        <f>汇总表!F6</f>
        <v>3100.01</v>
      </c>
      <c r="L6" s="33">
        <f>K6-G6</f>
        <v>-37.4736990000001</v>
      </c>
      <c r="M6" s="62"/>
      <c r="N6" s="63"/>
    </row>
    <row r="7" s="8" customFormat="1" ht="20" customHeight="1" spans="1:14">
      <c r="A7" s="34" t="str">
        <f>汇总表!A7</f>
        <v>1</v>
      </c>
      <c r="B7" s="35" t="str">
        <f>汇总表!B7</f>
        <v>玉滨路</v>
      </c>
      <c r="C7" s="36" t="s">
        <v>125</v>
      </c>
      <c r="D7" s="37">
        <f>SUM(D8:D11)</f>
        <v>1213.921591</v>
      </c>
      <c r="E7" s="37">
        <f>SUM(E8:E11)</f>
        <v>21.746839</v>
      </c>
      <c r="F7" s="32"/>
      <c r="G7" s="38">
        <f t="shared" ref="G7:G26" si="0">D7+E7</f>
        <v>1235.66843</v>
      </c>
      <c r="H7" s="39">
        <f>汇总表!C7</f>
        <v>1178.87</v>
      </c>
      <c r="I7" s="39">
        <f>汇总表!D7</f>
        <v>19.91</v>
      </c>
      <c r="J7" s="39"/>
      <c r="K7" s="39">
        <f>汇总表!F7</f>
        <v>1198.78</v>
      </c>
      <c r="L7" s="39">
        <f>K7-G7</f>
        <v>-36.88843</v>
      </c>
      <c r="M7" s="62"/>
      <c r="N7" s="63"/>
    </row>
    <row r="8" s="8" customFormat="1" ht="20" customHeight="1" spans="1:14">
      <c r="A8" s="34" t="str">
        <f>汇总表!A8</f>
        <v>1.1</v>
      </c>
      <c r="B8" s="35" t="str">
        <f>汇总表!B8</f>
        <v>土建工程</v>
      </c>
      <c r="C8" s="36" t="s">
        <v>125</v>
      </c>
      <c r="D8" s="40">
        <v>838.248516</v>
      </c>
      <c r="E8" s="41"/>
      <c r="F8" s="32"/>
      <c r="G8" s="38">
        <f t="shared" si="0"/>
        <v>838.248516</v>
      </c>
      <c r="H8" s="39">
        <f>汇总表!C8</f>
        <v>863.02</v>
      </c>
      <c r="I8" s="39">
        <f>汇总表!D8</f>
        <v>0</v>
      </c>
      <c r="J8" s="39"/>
      <c r="K8" s="39">
        <f>汇总表!F8</f>
        <v>863.02</v>
      </c>
      <c r="L8" s="39">
        <f t="shared" ref="L8:L28" si="1">K8-G8</f>
        <v>24.771484</v>
      </c>
      <c r="M8" s="62"/>
      <c r="N8" s="63"/>
    </row>
    <row r="9" s="8" customFormat="1" ht="20" customHeight="1" spans="1:14">
      <c r="A9" s="34" t="str">
        <f>汇总表!A9</f>
        <v>1.2</v>
      </c>
      <c r="B9" s="35" t="str">
        <f>汇总表!B9</f>
        <v>绿化工程</v>
      </c>
      <c r="C9" s="36" t="s">
        <v>125</v>
      </c>
      <c r="D9" s="40">
        <v>279.645098</v>
      </c>
      <c r="E9" s="37"/>
      <c r="F9" s="32"/>
      <c r="G9" s="38">
        <f t="shared" si="0"/>
        <v>279.645098</v>
      </c>
      <c r="H9" s="39">
        <f>汇总表!C9</f>
        <v>219.82</v>
      </c>
      <c r="I9" s="39">
        <f>汇总表!D9</f>
        <v>0</v>
      </c>
      <c r="J9" s="39"/>
      <c r="K9" s="39">
        <f>汇总表!F9</f>
        <v>219.82</v>
      </c>
      <c r="L9" s="39">
        <f t="shared" si="1"/>
        <v>-59.825098</v>
      </c>
      <c r="M9" s="62"/>
      <c r="N9" s="63"/>
    </row>
    <row r="10" s="8" customFormat="1" ht="20" customHeight="1" spans="1:14">
      <c r="A10" s="34" t="str">
        <f>汇总表!A10</f>
        <v>1.3</v>
      </c>
      <c r="B10" s="35" t="str">
        <f>汇总表!B10</f>
        <v>建筑工程</v>
      </c>
      <c r="C10" s="36" t="s">
        <v>125</v>
      </c>
      <c r="D10" s="40">
        <v>96.027977</v>
      </c>
      <c r="E10" s="42"/>
      <c r="F10" s="32"/>
      <c r="G10" s="38">
        <f t="shared" si="0"/>
        <v>96.027977</v>
      </c>
      <c r="H10" s="39">
        <f>汇总表!C10</f>
        <v>96.03</v>
      </c>
      <c r="I10" s="39">
        <f>汇总表!D10</f>
        <v>0</v>
      </c>
      <c r="J10" s="39"/>
      <c r="K10" s="39">
        <f>汇总表!F10</f>
        <v>96.03</v>
      </c>
      <c r="L10" s="39">
        <f t="shared" si="1"/>
        <v>0.00202299999999411</v>
      </c>
      <c r="M10" s="62"/>
      <c r="N10" s="63"/>
    </row>
    <row r="11" s="8" customFormat="1" ht="20" customHeight="1" spans="1:14">
      <c r="A11" s="34" t="str">
        <f>汇总表!A11</f>
        <v>1.4</v>
      </c>
      <c r="B11" s="35" t="str">
        <f>汇总表!B11</f>
        <v>水电工程</v>
      </c>
      <c r="C11" s="36" t="s">
        <v>125</v>
      </c>
      <c r="D11" s="41"/>
      <c r="E11" s="40">
        <v>21.746839</v>
      </c>
      <c r="F11" s="32"/>
      <c r="G11" s="38">
        <f t="shared" si="0"/>
        <v>21.746839</v>
      </c>
      <c r="H11" s="39">
        <f>汇总表!C11</f>
        <v>0</v>
      </c>
      <c r="I11" s="39">
        <f>汇总表!D11</f>
        <v>19.91</v>
      </c>
      <c r="J11" s="39"/>
      <c r="K11" s="39">
        <f>汇总表!F11</f>
        <v>19.91</v>
      </c>
      <c r="L11" s="39">
        <f t="shared" si="1"/>
        <v>-1.836839</v>
      </c>
      <c r="M11" s="62"/>
      <c r="N11" s="63"/>
    </row>
    <row r="12" s="8" customFormat="1" ht="20" customHeight="1" spans="1:14">
      <c r="A12" s="34" t="str">
        <f>汇总表!A12</f>
        <v>2</v>
      </c>
      <c r="B12" s="35" t="str">
        <f>汇总表!B12</f>
        <v>玉龙广场及周边</v>
      </c>
      <c r="C12" s="36" t="s">
        <v>125</v>
      </c>
      <c r="D12" s="37">
        <f>SUM(D13:D15)</f>
        <v>368.116883</v>
      </c>
      <c r="E12" s="37">
        <f>SUM(E13:E15)</f>
        <v>27.257888</v>
      </c>
      <c r="F12" s="32"/>
      <c r="G12" s="38">
        <f t="shared" si="0"/>
        <v>395.374771</v>
      </c>
      <c r="H12" s="39">
        <f>汇总表!C12</f>
        <v>367.38</v>
      </c>
      <c r="I12" s="39">
        <f>汇总表!D12</f>
        <v>24.96</v>
      </c>
      <c r="J12" s="39"/>
      <c r="K12" s="39">
        <f>汇总表!F12</f>
        <v>392.34</v>
      </c>
      <c r="L12" s="39">
        <f t="shared" si="1"/>
        <v>-3.03477100000003</v>
      </c>
      <c r="M12" s="62"/>
      <c r="N12" s="63"/>
    </row>
    <row r="13" s="8" customFormat="1" ht="20" customHeight="1" spans="1:14">
      <c r="A13" s="34" t="str">
        <f>汇总表!A13</f>
        <v>2.1</v>
      </c>
      <c r="B13" s="35" t="str">
        <f>汇总表!B13</f>
        <v>土建工程</v>
      </c>
      <c r="C13" s="36" t="s">
        <v>125</v>
      </c>
      <c r="D13" s="40">
        <v>309.892928</v>
      </c>
      <c r="E13" s="37"/>
      <c r="F13" s="32"/>
      <c r="G13" s="38">
        <f t="shared" si="0"/>
        <v>309.892928</v>
      </c>
      <c r="H13" s="39">
        <f>汇总表!C13</f>
        <v>314.24</v>
      </c>
      <c r="I13" s="39">
        <f>汇总表!D13</f>
        <v>0</v>
      </c>
      <c r="J13" s="39"/>
      <c r="K13" s="39">
        <f>汇总表!F13</f>
        <v>314.24</v>
      </c>
      <c r="L13" s="39">
        <f t="shared" si="1"/>
        <v>4.34707200000003</v>
      </c>
      <c r="M13" s="62"/>
      <c r="N13" s="63"/>
    </row>
    <row r="14" s="8" customFormat="1" ht="20" customHeight="1" spans="1:14">
      <c r="A14" s="34" t="str">
        <f>汇总表!A14</f>
        <v>2.2</v>
      </c>
      <c r="B14" s="35" t="str">
        <f>汇总表!B14</f>
        <v>绿化工程</v>
      </c>
      <c r="C14" s="36" t="s">
        <v>125</v>
      </c>
      <c r="D14" s="40">
        <v>58.223955</v>
      </c>
      <c r="E14" s="37"/>
      <c r="F14" s="32"/>
      <c r="G14" s="38">
        <f t="shared" si="0"/>
        <v>58.223955</v>
      </c>
      <c r="H14" s="39">
        <f>汇总表!C14</f>
        <v>53.14</v>
      </c>
      <c r="I14" s="39">
        <f>汇总表!D14</f>
        <v>0</v>
      </c>
      <c r="J14" s="39"/>
      <c r="K14" s="39">
        <f>汇总表!F14</f>
        <v>53.14</v>
      </c>
      <c r="L14" s="39">
        <f t="shared" si="1"/>
        <v>-5.083955</v>
      </c>
      <c r="M14" s="62"/>
      <c r="N14" s="63"/>
    </row>
    <row r="15" s="8" customFormat="1" ht="20" customHeight="1" spans="1:14">
      <c r="A15" s="34" t="str">
        <f>汇总表!A15</f>
        <v>2.3</v>
      </c>
      <c r="B15" s="35" t="str">
        <f>汇总表!B15</f>
        <v>电气工程</v>
      </c>
      <c r="C15" s="36" t="s">
        <v>125</v>
      </c>
      <c r="D15" s="40"/>
      <c r="E15" s="40">
        <v>27.257888</v>
      </c>
      <c r="F15" s="32"/>
      <c r="G15" s="38">
        <f t="shared" si="0"/>
        <v>27.257888</v>
      </c>
      <c r="H15" s="39">
        <f>汇总表!C15</f>
        <v>0</v>
      </c>
      <c r="I15" s="39">
        <f>汇总表!D15</f>
        <v>24.96</v>
      </c>
      <c r="J15" s="39"/>
      <c r="K15" s="39">
        <f>汇总表!F15</f>
        <v>24.96</v>
      </c>
      <c r="L15" s="39">
        <f t="shared" si="1"/>
        <v>-2.297888</v>
      </c>
      <c r="M15" s="62"/>
      <c r="N15" s="63"/>
    </row>
    <row r="16" s="8" customFormat="1" ht="20" customHeight="1" spans="1:14">
      <c r="A16" s="34" t="str">
        <f>汇总表!A16</f>
        <v>3</v>
      </c>
      <c r="B16" s="35" t="str">
        <f>汇总表!B16</f>
        <v>滨湖村</v>
      </c>
      <c r="C16" s="36" t="s">
        <v>125</v>
      </c>
      <c r="D16" s="37">
        <f>SUM(D17:D19)</f>
        <v>316.136422</v>
      </c>
      <c r="E16" s="37">
        <f>SUM(E17:E19)</f>
        <v>9.388644</v>
      </c>
      <c r="F16" s="32"/>
      <c r="G16" s="38">
        <f t="shared" si="0"/>
        <v>325.525066</v>
      </c>
      <c r="H16" s="39">
        <f>汇总表!C16</f>
        <v>312.35</v>
      </c>
      <c r="I16" s="39">
        <f>汇总表!D16</f>
        <v>8.38</v>
      </c>
      <c r="J16" s="39"/>
      <c r="K16" s="39">
        <f>汇总表!F16</f>
        <v>320.73</v>
      </c>
      <c r="L16" s="39">
        <f t="shared" si="1"/>
        <v>-4.79506599999996</v>
      </c>
      <c r="M16" s="62"/>
      <c r="N16" s="63"/>
    </row>
    <row r="17" s="8" customFormat="1" ht="20" customHeight="1" spans="1:14">
      <c r="A17" s="34" t="str">
        <f>汇总表!A17</f>
        <v>3.1</v>
      </c>
      <c r="B17" s="35" t="str">
        <f>汇总表!B17</f>
        <v>土建工程</v>
      </c>
      <c r="C17" s="36" t="s">
        <v>125</v>
      </c>
      <c r="D17" s="40">
        <v>264.491894</v>
      </c>
      <c r="E17" s="37"/>
      <c r="F17" s="32"/>
      <c r="G17" s="38">
        <f t="shared" si="0"/>
        <v>264.491894</v>
      </c>
      <c r="H17" s="39">
        <f>汇总表!C17</f>
        <v>265.23</v>
      </c>
      <c r="I17" s="39">
        <f>汇总表!D17</f>
        <v>0</v>
      </c>
      <c r="J17" s="39"/>
      <c r="K17" s="39">
        <f>汇总表!F17</f>
        <v>265.23</v>
      </c>
      <c r="L17" s="39">
        <f t="shared" si="1"/>
        <v>0.738106000000016</v>
      </c>
      <c r="M17" s="62"/>
      <c r="N17" s="63"/>
    </row>
    <row r="18" s="8" customFormat="1" ht="20" customHeight="1" spans="1:14">
      <c r="A18" s="34" t="str">
        <f>汇总表!A18</f>
        <v>3.2</v>
      </c>
      <c r="B18" s="35" t="str">
        <f>汇总表!B18</f>
        <v>绿化工程</v>
      </c>
      <c r="C18" s="36" t="s">
        <v>125</v>
      </c>
      <c r="D18" s="40">
        <v>51.644528</v>
      </c>
      <c r="E18" s="37"/>
      <c r="F18" s="32"/>
      <c r="G18" s="38">
        <f t="shared" si="0"/>
        <v>51.644528</v>
      </c>
      <c r="H18" s="39">
        <f>汇总表!C18</f>
        <v>47.12</v>
      </c>
      <c r="I18" s="39">
        <f>汇总表!D18</f>
        <v>0</v>
      </c>
      <c r="J18" s="39"/>
      <c r="K18" s="39">
        <f>汇总表!F18</f>
        <v>47.12</v>
      </c>
      <c r="L18" s="39">
        <f t="shared" si="1"/>
        <v>-4.524528</v>
      </c>
      <c r="M18" s="62"/>
      <c r="N18" s="63"/>
    </row>
    <row r="19" s="8" customFormat="1" ht="20" customHeight="1" spans="1:14">
      <c r="A19" s="34" t="str">
        <f>汇总表!A19</f>
        <v>3.3</v>
      </c>
      <c r="B19" s="35" t="str">
        <f>汇总表!B19</f>
        <v>水电工程</v>
      </c>
      <c r="C19" s="36" t="s">
        <v>125</v>
      </c>
      <c r="D19" s="41"/>
      <c r="E19" s="40">
        <v>9.388644</v>
      </c>
      <c r="F19" s="32"/>
      <c r="G19" s="38">
        <f t="shared" si="0"/>
        <v>9.388644</v>
      </c>
      <c r="H19" s="39">
        <f>汇总表!C19</f>
        <v>0</v>
      </c>
      <c r="I19" s="39">
        <f>汇总表!D19</f>
        <v>8.38</v>
      </c>
      <c r="J19" s="39"/>
      <c r="K19" s="39">
        <f>汇总表!F19</f>
        <v>8.38</v>
      </c>
      <c r="L19" s="39">
        <f t="shared" si="1"/>
        <v>-1.008644</v>
      </c>
      <c r="M19" s="62"/>
      <c r="N19" s="63"/>
    </row>
    <row r="20" s="8" customFormat="1" ht="20" customHeight="1" spans="1:14">
      <c r="A20" s="34" t="str">
        <f>汇总表!A20</f>
        <v>4</v>
      </c>
      <c r="B20" s="35" t="str">
        <f>汇总表!B20</f>
        <v>龙棠大道、梧桐大道、经开大道</v>
      </c>
      <c r="C20" s="36" t="s">
        <v>125</v>
      </c>
      <c r="D20" s="37">
        <f>SUM(D21:D22)</f>
        <v>605.146793</v>
      </c>
      <c r="E20" s="37">
        <f>SUM(E21:E22)</f>
        <v>0</v>
      </c>
      <c r="F20" s="32"/>
      <c r="G20" s="38">
        <f t="shared" si="0"/>
        <v>605.146793</v>
      </c>
      <c r="H20" s="39">
        <f>汇总表!C20</f>
        <v>628.41</v>
      </c>
      <c r="I20" s="39">
        <f>汇总表!D20</f>
        <v>0</v>
      </c>
      <c r="J20" s="39"/>
      <c r="K20" s="39">
        <f>汇总表!F20</f>
        <v>628.41</v>
      </c>
      <c r="L20" s="39">
        <f t="shared" si="1"/>
        <v>23.263207</v>
      </c>
      <c r="M20" s="62"/>
      <c r="N20" s="63"/>
    </row>
    <row r="21" s="8" customFormat="1" ht="20" customHeight="1" spans="1:14">
      <c r="A21" s="34" t="str">
        <f>汇总表!A21</f>
        <v>4.1</v>
      </c>
      <c r="B21" s="35" t="str">
        <f>汇总表!B21</f>
        <v>土建工程</v>
      </c>
      <c r="C21" s="36" t="s">
        <v>125</v>
      </c>
      <c r="D21" s="40">
        <v>369.492762</v>
      </c>
      <c r="E21" s="37"/>
      <c r="F21" s="32"/>
      <c r="G21" s="38">
        <f t="shared" si="0"/>
        <v>369.492762</v>
      </c>
      <c r="H21" s="39">
        <f>汇总表!C21</f>
        <v>411.43</v>
      </c>
      <c r="I21" s="39">
        <f>汇总表!D21</f>
        <v>0</v>
      </c>
      <c r="J21" s="39"/>
      <c r="K21" s="39">
        <f>汇总表!F21</f>
        <v>411.43</v>
      </c>
      <c r="L21" s="39">
        <f t="shared" si="1"/>
        <v>41.937238</v>
      </c>
      <c r="M21" s="62"/>
      <c r="N21" s="63"/>
    </row>
    <row r="22" s="8" customFormat="1" ht="20" customHeight="1" spans="1:14">
      <c r="A22" s="34" t="str">
        <f>汇总表!A22</f>
        <v>4.2</v>
      </c>
      <c r="B22" s="35" t="str">
        <f>汇总表!B22</f>
        <v>绿化工程</v>
      </c>
      <c r="C22" s="36" t="s">
        <v>125</v>
      </c>
      <c r="D22" s="40">
        <v>235.654031</v>
      </c>
      <c r="E22" s="37"/>
      <c r="F22" s="32"/>
      <c r="G22" s="38">
        <f t="shared" si="0"/>
        <v>235.654031</v>
      </c>
      <c r="H22" s="39">
        <f>汇总表!C22</f>
        <v>216.98</v>
      </c>
      <c r="I22" s="39">
        <f>汇总表!D22</f>
        <v>0</v>
      </c>
      <c r="J22" s="39"/>
      <c r="K22" s="39">
        <f>汇总表!F22</f>
        <v>216.98</v>
      </c>
      <c r="L22" s="39">
        <f t="shared" si="1"/>
        <v>-18.674031</v>
      </c>
      <c r="M22" s="62"/>
      <c r="N22" s="63"/>
    </row>
    <row r="23" s="8" customFormat="1" ht="20" customHeight="1" spans="1:14">
      <c r="A23" s="34" t="str">
        <f>汇总表!A23</f>
        <v>5</v>
      </c>
      <c r="B23" s="35" t="str">
        <f>汇总表!B23</f>
        <v>BC段（迎宾段、交通岛）</v>
      </c>
      <c r="C23" s="36" t="s">
        <v>125</v>
      </c>
      <c r="D23" s="37">
        <f>SUM(D24:D26)</f>
        <v>533.053774</v>
      </c>
      <c r="E23" s="37">
        <f>SUM(E24:E26)</f>
        <v>42.714865</v>
      </c>
      <c r="F23" s="32"/>
      <c r="G23" s="38">
        <f t="shared" si="0"/>
        <v>575.768639</v>
      </c>
      <c r="H23" s="39">
        <f>汇总表!C23</f>
        <v>522.32</v>
      </c>
      <c r="I23" s="39">
        <f>汇总表!D23</f>
        <v>37.43</v>
      </c>
      <c r="J23" s="39"/>
      <c r="K23" s="39">
        <f>汇总表!F23</f>
        <v>559.75</v>
      </c>
      <c r="L23" s="39">
        <f t="shared" si="1"/>
        <v>-16.0186390000001</v>
      </c>
      <c r="M23" s="62"/>
      <c r="N23" s="63"/>
    </row>
    <row r="24" s="8" customFormat="1" ht="20" customHeight="1" spans="1:14">
      <c r="A24" s="34" t="str">
        <f>汇总表!A24</f>
        <v>5.1</v>
      </c>
      <c r="B24" s="35" t="str">
        <f>汇总表!B24</f>
        <v>土建工程</v>
      </c>
      <c r="C24" s="36" t="s">
        <v>125</v>
      </c>
      <c r="D24" s="40">
        <v>149.813684</v>
      </c>
      <c r="E24" s="40"/>
      <c r="F24" s="32"/>
      <c r="G24" s="38">
        <f t="shared" si="0"/>
        <v>149.813684</v>
      </c>
      <c r="H24" s="39">
        <f>汇总表!C24</f>
        <v>155.73</v>
      </c>
      <c r="I24" s="39">
        <f>汇总表!D24</f>
        <v>0</v>
      </c>
      <c r="J24" s="39"/>
      <c r="K24" s="39">
        <f>汇总表!F24</f>
        <v>155.73</v>
      </c>
      <c r="L24" s="39">
        <f t="shared" si="1"/>
        <v>5.91631599999999</v>
      </c>
      <c r="M24" s="62"/>
      <c r="N24" s="63"/>
    </row>
    <row r="25" s="8" customFormat="1" ht="20" customHeight="1" spans="1:14">
      <c r="A25" s="34" t="str">
        <f>汇总表!A25</f>
        <v>5.2</v>
      </c>
      <c r="B25" s="35" t="str">
        <f>汇总表!B25</f>
        <v>绿化工程</v>
      </c>
      <c r="C25" s="36" t="s">
        <v>125</v>
      </c>
      <c r="D25" s="40">
        <v>383.24009</v>
      </c>
      <c r="E25" s="40"/>
      <c r="F25" s="32"/>
      <c r="G25" s="38">
        <f t="shared" si="0"/>
        <v>383.24009</v>
      </c>
      <c r="H25" s="39">
        <f>汇总表!C25</f>
        <v>366.59</v>
      </c>
      <c r="I25" s="39">
        <f>汇总表!D25</f>
        <v>0</v>
      </c>
      <c r="J25" s="39"/>
      <c r="K25" s="39">
        <f>汇总表!F25</f>
        <v>366.59</v>
      </c>
      <c r="L25" s="39">
        <f t="shared" si="1"/>
        <v>-16.65009</v>
      </c>
      <c r="M25" s="62"/>
      <c r="N25" s="63"/>
    </row>
    <row r="26" s="8" customFormat="1" ht="20" customHeight="1" spans="1:14">
      <c r="A26" s="34" t="str">
        <f>汇总表!A26</f>
        <v>5.3</v>
      </c>
      <c r="B26" s="35" t="str">
        <f>汇总表!B26</f>
        <v>水电工程</v>
      </c>
      <c r="C26" s="36" t="s">
        <v>125</v>
      </c>
      <c r="D26" s="41"/>
      <c r="E26" s="40">
        <v>42.714865</v>
      </c>
      <c r="F26" s="32"/>
      <c r="G26" s="38">
        <f t="shared" si="0"/>
        <v>42.714865</v>
      </c>
      <c r="H26" s="39">
        <f>汇总表!C26</f>
        <v>0</v>
      </c>
      <c r="I26" s="39">
        <f>汇总表!D26</f>
        <v>37.43</v>
      </c>
      <c r="J26" s="39"/>
      <c r="K26" s="39">
        <f>汇总表!F26</f>
        <v>37.43</v>
      </c>
      <c r="L26" s="39">
        <f t="shared" si="1"/>
        <v>-5.284865</v>
      </c>
      <c r="M26" s="62"/>
      <c r="N26" s="63"/>
    </row>
    <row r="27" s="8" customFormat="1" ht="20" customHeight="1" spans="1:13">
      <c r="A27" s="43" t="s">
        <v>45</v>
      </c>
      <c r="B27" s="44" t="s">
        <v>46</v>
      </c>
      <c r="C27" s="30" t="s">
        <v>125</v>
      </c>
      <c r="D27" s="45"/>
      <c r="E27" s="45"/>
      <c r="F27" s="46">
        <f>F28+F31</f>
        <v>1133.284306228</v>
      </c>
      <c r="G27" s="47">
        <f t="shared" ref="G27:G29" si="2">F27</f>
        <v>1133.284306228</v>
      </c>
      <c r="H27" s="33"/>
      <c r="I27" s="33"/>
      <c r="J27" s="64">
        <f>汇总表!F27</f>
        <v>934.54</v>
      </c>
      <c r="K27" s="33">
        <f>汇总表!F27</f>
        <v>934.54</v>
      </c>
      <c r="L27" s="33">
        <f t="shared" si="1"/>
        <v>-198.744306228</v>
      </c>
      <c r="M27" s="62"/>
    </row>
    <row r="28" s="8" customFormat="1" ht="20" customHeight="1" spans="1:13">
      <c r="A28" s="48" t="s">
        <v>48</v>
      </c>
      <c r="B28" s="49" t="s">
        <v>49</v>
      </c>
      <c r="C28" s="37"/>
      <c r="D28" s="37"/>
      <c r="E28" s="50"/>
      <c r="F28" s="51">
        <f>SUM(F29:F30)</f>
        <v>721.22</v>
      </c>
      <c r="G28" s="31">
        <f t="shared" si="2"/>
        <v>721.22</v>
      </c>
      <c r="H28" s="33"/>
      <c r="I28" s="33"/>
      <c r="J28" s="64">
        <f>J29+J30</f>
        <v>697.5</v>
      </c>
      <c r="K28" s="33">
        <f>J28</f>
        <v>697.5</v>
      </c>
      <c r="L28" s="33">
        <f t="shared" si="1"/>
        <v>-23.72</v>
      </c>
      <c r="M28" s="62"/>
    </row>
    <row r="29" s="7" customFormat="1" ht="20" customHeight="1" spans="1:14">
      <c r="A29" s="52">
        <v>1</v>
      </c>
      <c r="B29" s="53" t="s">
        <v>51</v>
      </c>
      <c r="C29" s="37"/>
      <c r="D29" s="37"/>
      <c r="E29" s="37"/>
      <c r="F29" s="37">
        <f>496+186</f>
        <v>682</v>
      </c>
      <c r="G29" s="40">
        <f t="shared" si="2"/>
        <v>682</v>
      </c>
      <c r="H29" s="39"/>
      <c r="I29" s="39"/>
      <c r="J29" s="65">
        <f>汇总表!E29</f>
        <v>682</v>
      </c>
      <c r="K29" s="39">
        <f>J29</f>
        <v>682</v>
      </c>
      <c r="L29" s="39">
        <f>ROUND(K29-G29,2)</f>
        <v>0</v>
      </c>
      <c r="M29" s="62"/>
      <c r="N29" s="63"/>
    </row>
    <row r="30" s="7" customFormat="1" ht="27" customHeight="1" spans="1:14">
      <c r="A30" s="52" t="s">
        <v>25</v>
      </c>
      <c r="B30" s="53" t="s">
        <v>53</v>
      </c>
      <c r="C30" s="37"/>
      <c r="D30" s="37"/>
      <c r="E30" s="37"/>
      <c r="F30" s="37">
        <v>39.22</v>
      </c>
      <c r="G30" s="40">
        <f t="shared" ref="G30:G56" si="3">F30</f>
        <v>39.22</v>
      </c>
      <c r="H30" s="39"/>
      <c r="I30" s="39"/>
      <c r="J30" s="65">
        <f>汇总表!E30</f>
        <v>15.5</v>
      </c>
      <c r="K30" s="39">
        <f t="shared" ref="K30:K56" si="4">J30</f>
        <v>15.5</v>
      </c>
      <c r="L30" s="39">
        <f t="shared" ref="L30:L57" si="5">ROUND(K30-G30,2)</f>
        <v>-23.72</v>
      </c>
      <c r="M30" s="66" t="str">
        <f>汇总表!H30</f>
        <v>按建安工程费*0.5%计取</v>
      </c>
      <c r="N30" s="63" t="str">
        <f>IF(L30&lt;0,B30&amp;"送审金额为"&amp;G30&amp;C30&amp;"，审定金额为"&amp;K30&amp;C30&amp;"，审减金额为"&amp;-L30&amp;"万元。主要原因是"&amp;M30&amp;"。",IF(L30&gt;0,B30&amp;"送审金额为"&amp;G30&amp;C30&amp;"，审定金额为"&amp;K30&amp;C30&amp;"，审增金额为"&amp;L30&amp;"万元。主要原因是"&amp;M30&amp;"。",""""))</f>
        <v>场地准备及临时设施费送审金额为39.22，审定金额为15.5，审减金额为23.72万元。主要原因是按建安工程费*0.5%计取。</v>
      </c>
    </row>
    <row r="31" s="7" customFormat="1" ht="20" customHeight="1" spans="1:14">
      <c r="A31" s="48" t="s">
        <v>55</v>
      </c>
      <c r="B31" s="49" t="s">
        <v>56</v>
      </c>
      <c r="C31" s="37"/>
      <c r="D31" s="37"/>
      <c r="E31" s="37"/>
      <c r="F31" s="51">
        <f>F32+F33+F34+F35+F42+F43+F44+F53+F54+F36</f>
        <v>412.064306228</v>
      </c>
      <c r="G31" s="31">
        <f t="shared" si="3"/>
        <v>412.064306228</v>
      </c>
      <c r="H31" s="39"/>
      <c r="I31" s="39"/>
      <c r="J31" s="65">
        <f>汇总表!E31</f>
        <v>237.04</v>
      </c>
      <c r="K31" s="39">
        <f t="shared" si="4"/>
        <v>237.04</v>
      </c>
      <c r="L31" s="39">
        <f t="shared" si="5"/>
        <v>-175.02</v>
      </c>
      <c r="M31" s="62"/>
      <c r="N31" s="63" t="str">
        <f>IF(L31&lt;0,B31&amp;"送审金额为"&amp;G31&amp;C31&amp;"，审定金额为"&amp;K31&amp;C31&amp;"，审减金额为"&amp;-L31&amp;"万元。主要原因是"&amp;M31&amp;"。",IF(L31&gt;0,B31&amp;"送审金额为"&amp;G31&amp;C31&amp;"，审定金额为"&amp;K31&amp;C31&amp;"，审增金额为"&amp;L31&amp;"万元。主要原因是"&amp;M31&amp;"。",""""))</f>
        <v>与项目建设有关的其他费用送审金额为412.064306228，审定金额为237.04，审减金额为175.02万元。主要原因是。</v>
      </c>
    </row>
    <row r="32" s="7" customFormat="1" ht="20" customHeight="1" spans="1:14">
      <c r="A32" s="52">
        <v>1</v>
      </c>
      <c r="B32" s="54" t="s">
        <v>58</v>
      </c>
      <c r="C32" s="37"/>
      <c r="D32" s="37"/>
      <c r="E32" s="37"/>
      <c r="F32" s="37">
        <v>52.0622</v>
      </c>
      <c r="G32" s="40">
        <f t="shared" si="3"/>
        <v>52.0622</v>
      </c>
      <c r="H32" s="39"/>
      <c r="I32" s="39"/>
      <c r="J32" s="65">
        <f>汇总表!E32</f>
        <v>48.5</v>
      </c>
      <c r="K32" s="39">
        <f t="shared" si="4"/>
        <v>48.5</v>
      </c>
      <c r="L32" s="39">
        <f t="shared" si="5"/>
        <v>-3.56</v>
      </c>
      <c r="M32" s="66" t="str">
        <f>汇总表!H32</f>
        <v>按照2021编规计取</v>
      </c>
      <c r="N32" s="63"/>
    </row>
    <row r="33" s="7" customFormat="1" ht="20" customHeight="1" spans="1:14">
      <c r="A33" s="55" t="s">
        <v>25</v>
      </c>
      <c r="B33" s="53" t="s">
        <v>60</v>
      </c>
      <c r="C33" s="37"/>
      <c r="D33" s="37"/>
      <c r="E33" s="37"/>
      <c r="F33" s="37">
        <f>75.868835*0.8</f>
        <v>60.695068</v>
      </c>
      <c r="G33" s="40">
        <f t="shared" si="3"/>
        <v>60.695068</v>
      </c>
      <c r="H33" s="39"/>
      <c r="I33" s="39"/>
      <c r="J33" s="65">
        <f>汇总表!E33</f>
        <v>43.07</v>
      </c>
      <c r="K33" s="39">
        <f t="shared" si="4"/>
        <v>43.07</v>
      </c>
      <c r="L33" s="39">
        <f t="shared" si="5"/>
        <v>-17.63</v>
      </c>
      <c r="M33" s="66" t="str">
        <f>汇总表!H33</f>
        <v>按照2021编规计取</v>
      </c>
      <c r="N33" s="63" t="str">
        <f>IF(L33&lt;0,B33&amp;"送审金额为"&amp;G33&amp;C33&amp;"，审定金额为"&amp;K33&amp;C33&amp;"，审减金额为"&amp;-L33&amp;"万元。主要原因是"&amp;M33&amp;"。",IF(L33&gt;0,B33&amp;"送审金额为"&amp;G33&amp;C33&amp;"，审定金额为"&amp;K33&amp;C33&amp;"，审增金额为"&amp;L33&amp;"万元。主要原因是"&amp;M33&amp;"。",""""))</f>
        <v>建设工程监理费送审金额为60.695068，审定金额为43.07，审减金额为17.63万元。主要原因是按照2021编规计取。</v>
      </c>
    </row>
    <row r="34" s="7" customFormat="1" ht="20" customHeight="1" spans="1:14">
      <c r="A34" s="55" t="s">
        <v>31</v>
      </c>
      <c r="B34" s="53" t="s">
        <v>61</v>
      </c>
      <c r="C34" s="37"/>
      <c r="D34" s="37"/>
      <c r="E34" s="37"/>
      <c r="F34" s="37">
        <v>14.03118</v>
      </c>
      <c r="G34" s="40">
        <f t="shared" si="3"/>
        <v>14.03118</v>
      </c>
      <c r="H34" s="39"/>
      <c r="I34" s="39"/>
      <c r="J34" s="65">
        <f>汇总表!E34</f>
        <v>10.56</v>
      </c>
      <c r="K34" s="39">
        <f t="shared" si="4"/>
        <v>10.56</v>
      </c>
      <c r="L34" s="39">
        <f t="shared" si="5"/>
        <v>-3.47</v>
      </c>
      <c r="M34" s="66" t="str">
        <f>汇总表!H34</f>
        <v>按照2021编规计取</v>
      </c>
      <c r="N34" s="63" t="str">
        <f>IF(L34&lt;0,B34&amp;"送审金额为"&amp;G34&amp;C34&amp;"，审定金额为"&amp;K34&amp;C34&amp;"，审减金额为"&amp;-L34&amp;"万元。主要原因是"&amp;M34&amp;"。",IF(L34&gt;0,B34&amp;"送审金额为"&amp;G34&amp;C34&amp;"，审定金额为"&amp;K34&amp;C34&amp;"，审增金额为"&amp;L34&amp;"万元。主要原因是"&amp;M34&amp;"。",""""))</f>
        <v>招标代理服务费送审金额为14.03118，审定金额为10.56，审减金额为3.47万元。主要原因是按照2021编规计取。</v>
      </c>
    </row>
    <row r="35" s="7" customFormat="1" ht="32" customHeight="1" spans="1:14">
      <c r="A35" s="55" t="s">
        <v>36</v>
      </c>
      <c r="B35" s="53" t="s">
        <v>62</v>
      </c>
      <c r="C35" s="37"/>
      <c r="D35" s="37"/>
      <c r="E35" s="37"/>
      <c r="F35" s="37">
        <v>5.333716</v>
      </c>
      <c r="G35" s="40">
        <f t="shared" si="3"/>
        <v>5.333716</v>
      </c>
      <c r="H35" s="39"/>
      <c r="I35" s="39"/>
      <c r="J35" s="65">
        <f>汇总表!E35</f>
        <v>1.58</v>
      </c>
      <c r="K35" s="39">
        <f t="shared" si="4"/>
        <v>1.58</v>
      </c>
      <c r="L35" s="39">
        <f t="shared" si="5"/>
        <v>-3.75</v>
      </c>
      <c r="M35" s="66" t="str">
        <f>汇总表!H35</f>
        <v>渝价[2018]54号*30%</v>
      </c>
      <c r="N35" s="63" t="str">
        <f>IF(L35&lt;0,B35&amp;"送审金额为"&amp;G35&amp;C35&amp;"，审定金额为"&amp;K35&amp;C35&amp;"，审减金额为"&amp;-L35&amp;"万元。主要原因是"&amp;M35&amp;"。",IF(L35&gt;0,B35&amp;"送审金额为"&amp;G35&amp;C35&amp;"，审定金额为"&amp;K35&amp;C35&amp;"，审增金额为"&amp;L35&amp;"万元。主要原因是"&amp;M35&amp;"。",""""))</f>
        <v>招标交易服务费送审金额为5.333716，审定金额为1.58，审减金额为3.75万元。主要原因是渝价[2018]54号*30%。</v>
      </c>
    </row>
    <row r="36" s="7" customFormat="1" ht="20" customHeight="1" spans="1:14">
      <c r="A36" s="55" t="s">
        <v>40</v>
      </c>
      <c r="B36" s="53" t="s">
        <v>64</v>
      </c>
      <c r="C36" s="37"/>
      <c r="D36" s="37"/>
      <c r="E36" s="37"/>
      <c r="F36" s="37">
        <f>SUM(F37:F41)</f>
        <v>31.333843</v>
      </c>
      <c r="G36" s="40">
        <f t="shared" si="3"/>
        <v>31.333843</v>
      </c>
      <c r="H36" s="39"/>
      <c r="I36" s="39"/>
      <c r="J36" s="65">
        <f>汇总表!E36</f>
        <v>4.35</v>
      </c>
      <c r="K36" s="39">
        <f t="shared" si="4"/>
        <v>4.35</v>
      </c>
      <c r="L36" s="39">
        <f t="shared" si="5"/>
        <v>-26.98</v>
      </c>
      <c r="M36" s="66"/>
      <c r="N36" s="63" t="str">
        <f>IF(L36&lt;0,B36&amp;"送审金额为"&amp;G36&amp;C36&amp;"，审定金额为"&amp;K36&amp;C36&amp;"，审减金额为"&amp;-L36&amp;"万元。主要原因是"&amp;M36&amp;"。",IF(L36&gt;0,B36&amp;"送审金额为"&amp;G36&amp;C36&amp;"，审定金额为"&amp;K36&amp;C36&amp;"，审增金额为"&amp;L36&amp;"万元。主要原因是"&amp;M36&amp;"。",""""))</f>
        <v>前期工作费送审金额为31.333843，审定金额为4.35，审减金额为26.98万元。主要原因是。</v>
      </c>
    </row>
    <row r="37" s="7" customFormat="1" ht="20" customHeight="1" spans="1:14">
      <c r="A37" s="55" t="s">
        <v>42</v>
      </c>
      <c r="B37" s="54" t="s">
        <v>66</v>
      </c>
      <c r="C37" s="37"/>
      <c r="D37" s="37"/>
      <c r="E37" s="37"/>
      <c r="F37" s="37">
        <v>6.15712</v>
      </c>
      <c r="G37" s="40">
        <f t="shared" si="3"/>
        <v>6.15712</v>
      </c>
      <c r="H37" s="39"/>
      <c r="I37" s="39"/>
      <c r="J37" s="65">
        <f>汇总表!E37</f>
        <v>0</v>
      </c>
      <c r="K37" s="39">
        <f t="shared" si="4"/>
        <v>0</v>
      </c>
      <c r="L37" s="39">
        <f t="shared" si="5"/>
        <v>-6.16</v>
      </c>
      <c r="M37" s="66" t="str">
        <f>汇总表!H37</f>
        <v>实际未发生</v>
      </c>
      <c r="N37" s="63"/>
    </row>
    <row r="38" s="7" customFormat="1" ht="20" customHeight="1" spans="1:14">
      <c r="A38" s="55" t="s">
        <v>43</v>
      </c>
      <c r="B38" s="53" t="s">
        <v>68</v>
      </c>
      <c r="C38" s="37"/>
      <c r="D38" s="37"/>
      <c r="E38" s="37"/>
      <c r="F38" s="37">
        <v>12.31424</v>
      </c>
      <c r="G38" s="40">
        <f t="shared" si="3"/>
        <v>12.31424</v>
      </c>
      <c r="H38" s="39"/>
      <c r="I38" s="39"/>
      <c r="J38" s="65">
        <f>汇总表!E38</f>
        <v>3</v>
      </c>
      <c r="K38" s="39">
        <f t="shared" si="4"/>
        <v>3</v>
      </c>
      <c r="L38" s="39">
        <f t="shared" si="5"/>
        <v>-9.31</v>
      </c>
      <c r="M38" s="66" t="str">
        <f>汇总表!H38</f>
        <v>已有合同约定</v>
      </c>
      <c r="N38" s="63"/>
    </row>
    <row r="39" s="7" customFormat="1" ht="20" customHeight="1" spans="1:14">
      <c r="A39" s="55" t="s">
        <v>44</v>
      </c>
      <c r="B39" s="53" t="s">
        <v>70</v>
      </c>
      <c r="C39" s="37"/>
      <c r="D39" s="37"/>
      <c r="E39" s="37"/>
      <c r="F39" s="37">
        <v>4.858227</v>
      </c>
      <c r="G39" s="40">
        <f t="shared" si="3"/>
        <v>4.858227</v>
      </c>
      <c r="H39" s="39"/>
      <c r="I39" s="39"/>
      <c r="J39" s="65">
        <f>汇总表!E39</f>
        <v>0</v>
      </c>
      <c r="K39" s="39">
        <f t="shared" si="4"/>
        <v>0</v>
      </c>
      <c r="L39" s="39">
        <f t="shared" si="5"/>
        <v>-4.86</v>
      </c>
      <c r="M39" s="66" t="str">
        <f>汇总表!H39</f>
        <v>实际未发生</v>
      </c>
      <c r="N39" s="63"/>
    </row>
    <row r="40" s="7" customFormat="1" ht="20" customHeight="1" spans="1:14">
      <c r="A40" s="55" t="s">
        <v>71</v>
      </c>
      <c r="B40" s="53" t="s">
        <v>72</v>
      </c>
      <c r="C40" s="37"/>
      <c r="D40" s="37"/>
      <c r="E40" s="37"/>
      <c r="F40" s="37">
        <f>F38*0.2</f>
        <v>2.462848</v>
      </c>
      <c r="G40" s="40">
        <f t="shared" si="3"/>
        <v>2.462848</v>
      </c>
      <c r="H40" s="39"/>
      <c r="I40" s="39"/>
      <c r="J40" s="65">
        <f>汇总表!E40</f>
        <v>0</v>
      </c>
      <c r="K40" s="39">
        <f t="shared" si="4"/>
        <v>0</v>
      </c>
      <c r="L40" s="39">
        <f t="shared" si="5"/>
        <v>-2.46</v>
      </c>
      <c r="M40" s="66" t="str">
        <f>汇总表!H40</f>
        <v>实际未发生</v>
      </c>
      <c r="N40" s="63"/>
    </row>
    <row r="41" s="7" customFormat="1" ht="27" customHeight="1" spans="1:14">
      <c r="A41" s="55" t="s">
        <v>73</v>
      </c>
      <c r="B41" s="53" t="s">
        <v>74</v>
      </c>
      <c r="C41" s="37"/>
      <c r="D41" s="37"/>
      <c r="E41" s="37"/>
      <c r="F41" s="37">
        <f>F38*0.3*(1+0.5)</f>
        <v>5.541408</v>
      </c>
      <c r="G41" s="40">
        <f t="shared" si="3"/>
        <v>5.541408</v>
      </c>
      <c r="H41" s="39"/>
      <c r="I41" s="39"/>
      <c r="J41" s="65">
        <f>汇总表!E41</f>
        <v>1.35</v>
      </c>
      <c r="K41" s="39">
        <f t="shared" si="4"/>
        <v>1.35</v>
      </c>
      <c r="L41" s="39">
        <f t="shared" si="5"/>
        <v>-4.19</v>
      </c>
      <c r="M41" s="66" t="s">
        <v>59</v>
      </c>
      <c r="N41" s="63"/>
    </row>
    <row r="42" s="7" customFormat="1" ht="20" customHeight="1" spans="1:14">
      <c r="A42" s="55" t="s">
        <v>76</v>
      </c>
      <c r="B42" s="53" t="s">
        <v>77</v>
      </c>
      <c r="C42" s="56"/>
      <c r="D42" s="56"/>
      <c r="E42" s="56"/>
      <c r="F42" s="56">
        <f>29.80606*0.9</f>
        <v>26.825454</v>
      </c>
      <c r="G42" s="40">
        <f t="shared" si="3"/>
        <v>26.825454</v>
      </c>
      <c r="H42" s="39"/>
      <c r="I42" s="39"/>
      <c r="J42" s="65">
        <f>汇总表!E42</f>
        <v>0</v>
      </c>
      <c r="K42" s="39">
        <f t="shared" si="4"/>
        <v>0</v>
      </c>
      <c r="L42" s="39">
        <f t="shared" si="5"/>
        <v>-26.83</v>
      </c>
      <c r="M42" s="66" t="str">
        <f>汇总表!H42</f>
        <v>实际未发生</v>
      </c>
      <c r="N42" s="63"/>
    </row>
    <row r="43" s="7" customFormat="1" ht="20" customHeight="1" spans="1:14">
      <c r="A43" s="55" t="s">
        <v>78</v>
      </c>
      <c r="B43" s="53" t="s">
        <v>79</v>
      </c>
      <c r="C43" s="56"/>
      <c r="D43" s="56"/>
      <c r="E43" s="56"/>
      <c r="F43" s="56">
        <f>136.533062*0.8</f>
        <v>109.2264496</v>
      </c>
      <c r="G43" s="40">
        <f t="shared" si="3"/>
        <v>109.2264496</v>
      </c>
      <c r="H43" s="39"/>
      <c r="I43" s="39"/>
      <c r="J43" s="65">
        <f>汇总表!E43</f>
        <v>56.23</v>
      </c>
      <c r="K43" s="39">
        <f t="shared" si="4"/>
        <v>56.23</v>
      </c>
      <c r="L43" s="39">
        <f t="shared" si="5"/>
        <v>-53</v>
      </c>
      <c r="M43" s="66" t="str">
        <f>汇总表!H43</f>
        <v>已有合同约定</v>
      </c>
      <c r="N43" s="63"/>
    </row>
    <row r="44" s="7" customFormat="1" ht="20" customHeight="1" spans="1:14">
      <c r="A44" s="55" t="s">
        <v>80</v>
      </c>
      <c r="B44" s="53" t="s">
        <v>81</v>
      </c>
      <c r="C44" s="37"/>
      <c r="D44" s="37"/>
      <c r="E44" s="37"/>
      <c r="F44" s="37">
        <f>F45+F48</f>
        <v>74.90659124</v>
      </c>
      <c r="G44" s="40">
        <f t="shared" si="3"/>
        <v>74.90659124</v>
      </c>
      <c r="H44" s="39"/>
      <c r="I44" s="39"/>
      <c r="J44" s="65">
        <f>汇总表!E44</f>
        <v>47.95</v>
      </c>
      <c r="K44" s="39">
        <f t="shared" si="4"/>
        <v>47.95</v>
      </c>
      <c r="L44" s="39">
        <f t="shared" si="5"/>
        <v>-26.96</v>
      </c>
      <c r="M44" s="66"/>
      <c r="N44" s="63"/>
    </row>
    <row r="45" s="7" customFormat="1" ht="20" customHeight="1" spans="1:14">
      <c r="A45" s="55" t="s">
        <v>83</v>
      </c>
      <c r="B45" s="53" t="s">
        <v>84</v>
      </c>
      <c r="C45" s="37"/>
      <c r="D45" s="37"/>
      <c r="E45" s="37"/>
      <c r="F45" s="37">
        <f>F46+F47</f>
        <v>6.94324324</v>
      </c>
      <c r="G45" s="40">
        <f t="shared" si="3"/>
        <v>6.94324324</v>
      </c>
      <c r="H45" s="39"/>
      <c r="I45" s="39"/>
      <c r="J45" s="65">
        <f>汇总表!E45</f>
        <v>5.47</v>
      </c>
      <c r="K45" s="39">
        <f t="shared" si="4"/>
        <v>5.47</v>
      </c>
      <c r="L45" s="39">
        <f t="shared" si="5"/>
        <v>-1.47</v>
      </c>
      <c r="M45" s="66"/>
      <c r="N45" s="63"/>
    </row>
    <row r="46" s="7" customFormat="1" ht="20" customHeight="1" spans="1:14">
      <c r="A46" s="55" t="s">
        <v>86</v>
      </c>
      <c r="B46" s="53" t="s">
        <v>87</v>
      </c>
      <c r="C46" s="37"/>
      <c r="D46" s="37"/>
      <c r="E46" s="37"/>
      <c r="F46" s="37">
        <f>F42*6%</f>
        <v>1.60952724</v>
      </c>
      <c r="G46" s="40">
        <f t="shared" si="3"/>
        <v>1.60952724</v>
      </c>
      <c r="H46" s="39"/>
      <c r="I46" s="39"/>
      <c r="J46" s="65">
        <f>汇总表!E46</f>
        <v>0</v>
      </c>
      <c r="K46" s="39">
        <f t="shared" si="4"/>
        <v>0</v>
      </c>
      <c r="L46" s="39">
        <f t="shared" si="5"/>
        <v>-1.61</v>
      </c>
      <c r="M46" s="66" t="str">
        <f>汇总表!H46</f>
        <v>实际未发生</v>
      </c>
      <c r="N46" s="63"/>
    </row>
    <row r="47" s="7" customFormat="1" ht="20" customHeight="1" spans="1:14">
      <c r="A47" s="55" t="s">
        <v>88</v>
      </c>
      <c r="B47" s="53" t="s">
        <v>89</v>
      </c>
      <c r="C47" s="37"/>
      <c r="D47" s="37"/>
      <c r="E47" s="37"/>
      <c r="F47" s="37">
        <v>5.333716</v>
      </c>
      <c r="G47" s="40">
        <f t="shared" si="3"/>
        <v>5.333716</v>
      </c>
      <c r="H47" s="39"/>
      <c r="I47" s="39"/>
      <c r="J47" s="65">
        <f>汇总表!E47</f>
        <v>5.47</v>
      </c>
      <c r="K47" s="39">
        <f t="shared" si="4"/>
        <v>5.47</v>
      </c>
      <c r="L47" s="39">
        <f t="shared" si="5"/>
        <v>0.14</v>
      </c>
      <c r="M47" s="66" t="str">
        <f>汇总表!H47</f>
        <v>渝价[2013]423号文</v>
      </c>
      <c r="N47" s="63"/>
    </row>
    <row r="48" s="7" customFormat="1" ht="20" customHeight="1" spans="1:14">
      <c r="A48" s="55" t="s">
        <v>91</v>
      </c>
      <c r="B48" s="53" t="s">
        <v>92</v>
      </c>
      <c r="C48" s="37"/>
      <c r="D48" s="37"/>
      <c r="E48" s="37"/>
      <c r="F48" s="37">
        <f>F49+F51+F50+F52</f>
        <v>67.963348</v>
      </c>
      <c r="G48" s="40">
        <f t="shared" si="3"/>
        <v>67.963348</v>
      </c>
      <c r="H48" s="39"/>
      <c r="I48" s="39"/>
      <c r="J48" s="65">
        <f>汇总表!E48</f>
        <v>42.48</v>
      </c>
      <c r="K48" s="39">
        <f t="shared" si="4"/>
        <v>42.48</v>
      </c>
      <c r="L48" s="39">
        <f t="shared" si="5"/>
        <v>-25.48</v>
      </c>
      <c r="M48" s="66"/>
      <c r="N48" s="63"/>
    </row>
    <row r="49" s="7" customFormat="1" ht="20" customHeight="1" spans="1:14">
      <c r="A49" s="55" t="s">
        <v>94</v>
      </c>
      <c r="B49" s="53" t="s">
        <v>95</v>
      </c>
      <c r="C49" s="37"/>
      <c r="D49" s="37"/>
      <c r="E49" s="37"/>
      <c r="F49" s="37">
        <f>4.164976</f>
        <v>4.164976</v>
      </c>
      <c r="G49" s="40">
        <f t="shared" si="3"/>
        <v>4.164976</v>
      </c>
      <c r="H49" s="39"/>
      <c r="I49" s="39"/>
      <c r="J49" s="65">
        <f>汇总表!E49</f>
        <v>0</v>
      </c>
      <c r="K49" s="39">
        <f t="shared" si="4"/>
        <v>0</v>
      </c>
      <c r="L49" s="39">
        <f t="shared" si="5"/>
        <v>-4.16</v>
      </c>
      <c r="M49" s="66" t="str">
        <f>汇总表!H49</f>
        <v>不发生</v>
      </c>
      <c r="N49" s="63"/>
    </row>
    <row r="50" s="7" customFormat="1" ht="31" customHeight="1" spans="1:14">
      <c r="A50" s="55" t="s">
        <v>97</v>
      </c>
      <c r="B50" s="53" t="s">
        <v>98</v>
      </c>
      <c r="C50" s="37"/>
      <c r="D50" s="37"/>
      <c r="E50" s="37"/>
      <c r="F50" s="37">
        <f>10.16244*2*0.9</f>
        <v>18.292392</v>
      </c>
      <c r="G50" s="40">
        <f t="shared" si="3"/>
        <v>18.292392</v>
      </c>
      <c r="H50" s="39"/>
      <c r="I50" s="39"/>
      <c r="J50" s="65">
        <f>汇总表!E50</f>
        <v>16.08</v>
      </c>
      <c r="K50" s="39">
        <f t="shared" si="4"/>
        <v>16.08</v>
      </c>
      <c r="L50" s="39">
        <f t="shared" si="5"/>
        <v>-2.21</v>
      </c>
      <c r="M50" s="66" t="str">
        <f>汇总表!H50</f>
        <v>渝价[2013]428号文下浮20%</v>
      </c>
      <c r="N50" s="63"/>
    </row>
    <row r="51" s="7" customFormat="1" ht="55" customHeight="1" spans="1:14">
      <c r="A51" s="55" t="s">
        <v>100</v>
      </c>
      <c r="B51" s="53" t="s">
        <v>101</v>
      </c>
      <c r="C51" s="37"/>
      <c r="D51" s="37"/>
      <c r="E51" s="37"/>
      <c r="F51" s="37">
        <f>8.5937*2*0.9</f>
        <v>15.46866</v>
      </c>
      <c r="G51" s="40">
        <f t="shared" si="3"/>
        <v>15.46866</v>
      </c>
      <c r="H51" s="39"/>
      <c r="I51" s="39"/>
      <c r="J51" s="65">
        <f>汇总表!E51</f>
        <v>0</v>
      </c>
      <c r="K51" s="39">
        <f t="shared" si="4"/>
        <v>0</v>
      </c>
      <c r="L51" s="39">
        <f t="shared" si="5"/>
        <v>-15.47</v>
      </c>
      <c r="M51" s="66" t="str">
        <f>汇总表!H51</f>
        <v>工程量清单施工阶段工程造价全过程控制已考虑结算审核费用</v>
      </c>
      <c r="N51" s="63"/>
    </row>
    <row r="52" s="7" customFormat="1" ht="33" customHeight="1" spans="1:14">
      <c r="A52" s="55" t="s">
        <v>103</v>
      </c>
      <c r="B52" s="53" t="s">
        <v>126</v>
      </c>
      <c r="C52" s="37"/>
      <c r="D52" s="37"/>
      <c r="E52" s="37"/>
      <c r="F52" s="37">
        <f>33.3748*0.9</f>
        <v>30.03732</v>
      </c>
      <c r="G52" s="40">
        <f t="shared" si="3"/>
        <v>30.03732</v>
      </c>
      <c r="H52" s="39"/>
      <c r="I52" s="39"/>
      <c r="J52" s="65">
        <f>汇总表!E52</f>
        <v>26.4</v>
      </c>
      <c r="K52" s="39">
        <f t="shared" si="4"/>
        <v>26.4</v>
      </c>
      <c r="L52" s="39">
        <f t="shared" si="5"/>
        <v>-3.64</v>
      </c>
      <c r="M52" s="66" t="str">
        <f>汇总表!H52</f>
        <v>渝价[2013]428号文下浮20%</v>
      </c>
      <c r="N52" s="63"/>
    </row>
    <row r="53" s="7" customFormat="1" ht="32" customHeight="1" spans="1:14">
      <c r="A53" s="55" t="s">
        <v>105</v>
      </c>
      <c r="B53" s="53" t="s">
        <v>106</v>
      </c>
      <c r="C53" s="37"/>
      <c r="D53" s="37"/>
      <c r="E53" s="37"/>
      <c r="F53" s="37">
        <f>G6*0.45%</f>
        <v>14.1186766455</v>
      </c>
      <c r="G53" s="40">
        <f t="shared" si="3"/>
        <v>14.1186766455</v>
      </c>
      <c r="H53" s="39"/>
      <c r="I53" s="39"/>
      <c r="J53" s="65">
        <f>汇总表!E53</f>
        <v>9.3</v>
      </c>
      <c r="K53" s="39">
        <f t="shared" si="4"/>
        <v>9.3</v>
      </c>
      <c r="L53" s="39">
        <f t="shared" si="5"/>
        <v>-4.82</v>
      </c>
      <c r="M53" s="66" t="str">
        <f>汇总表!H53</f>
        <v>按建安工程费*0.3%计取</v>
      </c>
      <c r="N53" s="63"/>
    </row>
    <row r="54" s="7" customFormat="1" ht="28" customHeight="1" spans="1:14">
      <c r="A54" s="55" t="s">
        <v>108</v>
      </c>
      <c r="B54" s="53" t="s">
        <v>109</v>
      </c>
      <c r="C54" s="37"/>
      <c r="D54" s="37"/>
      <c r="E54" s="37"/>
      <c r="F54" s="37">
        <f>G6*0.75%</f>
        <v>23.5311277425</v>
      </c>
      <c r="G54" s="40">
        <f t="shared" si="3"/>
        <v>23.5311277425</v>
      </c>
      <c r="H54" s="39"/>
      <c r="I54" s="39"/>
      <c r="J54" s="65">
        <f>汇总表!E54</f>
        <v>15.5</v>
      </c>
      <c r="K54" s="39">
        <f t="shared" si="4"/>
        <v>15.5</v>
      </c>
      <c r="L54" s="39">
        <f t="shared" si="5"/>
        <v>-8.03</v>
      </c>
      <c r="M54" s="66" t="str">
        <f>汇总表!H54</f>
        <v>按建安工程费*0.5%计取</v>
      </c>
      <c r="N54" s="63"/>
    </row>
    <row r="55" s="7" customFormat="1" ht="20" customHeight="1" spans="1:13">
      <c r="A55" s="43" t="s">
        <v>110</v>
      </c>
      <c r="B55" s="44" t="s">
        <v>111</v>
      </c>
      <c r="C55" s="36" t="s">
        <v>125</v>
      </c>
      <c r="D55" s="57"/>
      <c r="E55" s="57"/>
      <c r="F55" s="46">
        <f>F56</f>
        <v>179.44</v>
      </c>
      <c r="G55" s="47">
        <f t="shared" si="3"/>
        <v>179.44</v>
      </c>
      <c r="H55" s="39"/>
      <c r="I55" s="39"/>
      <c r="J55" s="65">
        <f>J56</f>
        <v>167.63</v>
      </c>
      <c r="K55" s="33">
        <f t="shared" si="4"/>
        <v>167.63</v>
      </c>
      <c r="L55" s="39">
        <f t="shared" si="5"/>
        <v>-11.81</v>
      </c>
      <c r="M55" s="62"/>
    </row>
    <row r="56" s="7" customFormat="1" ht="28" customHeight="1" spans="1:14">
      <c r="A56" s="58">
        <v>1</v>
      </c>
      <c r="B56" s="35" t="s">
        <v>112</v>
      </c>
      <c r="C56" s="36" t="s">
        <v>125</v>
      </c>
      <c r="D56" s="57"/>
      <c r="E56" s="57"/>
      <c r="F56" s="59">
        <f>ROUND((G6+G27-G29)*5%,2)</f>
        <v>179.44</v>
      </c>
      <c r="G56" s="60">
        <f t="shared" si="3"/>
        <v>179.44</v>
      </c>
      <c r="H56" s="39"/>
      <c r="I56" s="39"/>
      <c r="J56" s="65">
        <f>汇总表!E56</f>
        <v>167.63</v>
      </c>
      <c r="K56" s="39">
        <f t="shared" si="4"/>
        <v>167.63</v>
      </c>
      <c r="L56" s="39">
        <f t="shared" si="5"/>
        <v>-11.81</v>
      </c>
      <c r="M56" s="66" t="str">
        <f>汇总表!H56</f>
        <v>（一+二-土地费用）*5%</v>
      </c>
      <c r="N56" s="63" t="str">
        <f>IF(L56&lt;0,B56&amp;"送审金额为"&amp;G56&amp;C56&amp;"，审定金额为"&amp;K56&amp;C56&amp;"，审减金额为"&amp;-L56&amp;"万元。主要原因是"&amp;M56&amp;"。",IF(L56&gt;0,B56&amp;"送审金额为"&amp;G56&amp;C56&amp;"，审定金额为"&amp;K56&amp;C56&amp;"，审增金额为"&amp;L56&amp;"万元。主要原因是"&amp;M56&amp;"。",""""))</f>
        <v>基本预备费送审金额为179.44万元，审定金额为167.63万元，审减金额为11.81万元。主要原因是（一+二-土地费用）*5%。</v>
      </c>
    </row>
    <row r="57" s="7" customFormat="1" ht="20" customHeight="1" spans="1:13">
      <c r="A57" s="43" t="s">
        <v>114</v>
      </c>
      <c r="B57" s="44" t="s">
        <v>115</v>
      </c>
      <c r="C57" s="36" t="s">
        <v>125</v>
      </c>
      <c r="D57" s="57"/>
      <c r="E57" s="57"/>
      <c r="F57" s="46"/>
      <c r="G57" s="47">
        <v>4450.2</v>
      </c>
      <c r="H57" s="39"/>
      <c r="I57" s="39"/>
      <c r="J57" s="65"/>
      <c r="K57" s="33">
        <f>汇总表!F57</f>
        <v>4202.18</v>
      </c>
      <c r="L57" s="39">
        <f t="shared" si="5"/>
        <v>-248.02</v>
      </c>
      <c r="M57" s="62"/>
    </row>
  </sheetData>
  <mergeCells count="10">
    <mergeCell ref="A1:M1"/>
    <mergeCell ref="A2:M2"/>
    <mergeCell ref="A3:M3"/>
    <mergeCell ref="D4:G4"/>
    <mergeCell ref="H4:K4"/>
    <mergeCell ref="A4:A5"/>
    <mergeCell ref="B4:B5"/>
    <mergeCell ref="C4:C5"/>
    <mergeCell ref="L4:L5"/>
    <mergeCell ref="M4:M5"/>
  </mergeCells>
  <pageMargins left="0.751388888888889" right="0.751388888888889" top="1" bottom="1" header="0.5" footer="0.5"/>
  <pageSetup paperSize="9" scale="8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G7"/>
  <sheetViews>
    <sheetView workbookViewId="0">
      <selection activeCell="D4" sqref="D4:G7"/>
    </sheetView>
  </sheetViews>
  <sheetFormatPr defaultColWidth="8.8" defaultRowHeight="14.25" outlineLevelRow="6" outlineLevelCol="6"/>
  <cols>
    <col min="4" max="6" width="9.9"/>
    <col min="7" max="7" width="16.5"/>
  </cols>
  <sheetData>
    <row r="2" ht="15"/>
    <row r="3" ht="75.75" spans="3:7">
      <c r="C3" s="4" t="s">
        <v>127</v>
      </c>
      <c r="D3" s="4" t="s">
        <v>128</v>
      </c>
      <c r="E3" s="4" t="s">
        <v>129</v>
      </c>
      <c r="F3" s="4" t="s">
        <v>130</v>
      </c>
      <c r="G3" s="4" t="s">
        <v>131</v>
      </c>
    </row>
    <row r="4" ht="38.25" spans="3:7">
      <c r="C4" s="5" t="s">
        <v>14</v>
      </c>
      <c r="D4" s="5">
        <f>对比!G6</f>
        <v>3137.483699</v>
      </c>
      <c r="E4" s="5">
        <f>对比!K6</f>
        <v>3100.01</v>
      </c>
      <c r="F4" s="5">
        <f>E4-D4</f>
        <v>-37.4736990000001</v>
      </c>
      <c r="G4" s="6">
        <f>F4/D4</f>
        <v>-0.0119438705010464</v>
      </c>
    </row>
    <row r="5" ht="57" spans="3:7">
      <c r="C5" s="5" t="s">
        <v>46</v>
      </c>
      <c r="D5" s="5">
        <f>对比!G27</f>
        <v>1133.284306228</v>
      </c>
      <c r="E5" s="5">
        <f>对比!K27</f>
        <v>934.54</v>
      </c>
      <c r="F5" s="5">
        <f>E5-D5</f>
        <v>-198.744306228</v>
      </c>
      <c r="G5" s="6">
        <f>F5/D5</f>
        <v>-0.175370209519178</v>
      </c>
    </row>
    <row r="6" ht="19.5" spans="3:7">
      <c r="C6" s="5" t="s">
        <v>132</v>
      </c>
      <c r="D6" s="5">
        <f>对比!G55</f>
        <v>179.44</v>
      </c>
      <c r="E6" s="5">
        <f>对比!K55</f>
        <v>167.63</v>
      </c>
      <c r="F6" s="5">
        <f>E6-D6</f>
        <v>-11.81</v>
      </c>
      <c r="G6" s="6">
        <f>F6/D6</f>
        <v>-0.065815871600535</v>
      </c>
    </row>
    <row r="7" ht="19.5" spans="3:7">
      <c r="C7" s="5" t="s">
        <v>12</v>
      </c>
      <c r="D7" s="5">
        <f>对比!G57</f>
        <v>4450.2</v>
      </c>
      <c r="E7" s="5">
        <f>对比!K57</f>
        <v>4202.18</v>
      </c>
      <c r="F7" s="5">
        <f>E7-D7</f>
        <v>-248.02</v>
      </c>
      <c r="G7" s="6">
        <f>F7/D7</f>
        <v>-0.0557323266370052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H10"/>
  <sheetViews>
    <sheetView workbookViewId="0">
      <selection activeCell="C6" sqref="C6:H10"/>
    </sheetView>
  </sheetViews>
  <sheetFormatPr defaultColWidth="8.8" defaultRowHeight="14.25" outlineLevelCol="7"/>
  <cols>
    <col min="5" max="5" width="15.2"/>
  </cols>
  <sheetData>
    <row r="4" ht="15"/>
    <row r="5" ht="38.25" spans="3:8">
      <c r="C5" s="1" t="s">
        <v>3</v>
      </c>
      <c r="D5" s="1" t="s">
        <v>127</v>
      </c>
      <c r="E5" s="1" t="s">
        <v>128</v>
      </c>
      <c r="F5" s="1" t="s">
        <v>129</v>
      </c>
      <c r="G5" s="1" t="s">
        <v>133</v>
      </c>
      <c r="H5" s="1" t="s">
        <v>134</v>
      </c>
    </row>
    <row r="6" ht="38.25" spans="3:8">
      <c r="C6" s="2">
        <v>1</v>
      </c>
      <c r="D6" s="2" t="s">
        <v>14</v>
      </c>
      <c r="E6" s="2">
        <f>对比!G6</f>
        <v>3137.483699</v>
      </c>
      <c r="F6" s="2">
        <f>对比!K6</f>
        <v>3100.01</v>
      </c>
      <c r="G6" s="2">
        <f t="shared" ref="G6:G10" si="0">F6-E6</f>
        <v>-37.4736990000001</v>
      </c>
      <c r="H6" s="3">
        <f t="shared" ref="H6:H8" si="1">G6/E6</f>
        <v>-0.0119438705010464</v>
      </c>
    </row>
    <row r="7" ht="38.25" spans="3:8">
      <c r="C7" s="2">
        <v>2</v>
      </c>
      <c r="D7" s="2" t="s">
        <v>135</v>
      </c>
      <c r="E7" s="2">
        <v>272.7</v>
      </c>
      <c r="F7" s="2">
        <f>对比!K27</f>
        <v>934.54</v>
      </c>
      <c r="G7" s="2">
        <f t="shared" si="0"/>
        <v>661.84</v>
      </c>
      <c r="H7" s="3">
        <f t="shared" si="1"/>
        <v>2.42698936560323</v>
      </c>
    </row>
    <row r="8" ht="19.5" spans="3:8">
      <c r="C8" s="2">
        <v>3</v>
      </c>
      <c r="D8" s="2" t="s">
        <v>132</v>
      </c>
      <c r="E8" s="2" t="e">
        <f>对比!#REF!</f>
        <v>#REF!</v>
      </c>
      <c r="F8" s="2" t="e">
        <f>对比!#REF!</f>
        <v>#REF!</v>
      </c>
      <c r="G8" s="2" t="e">
        <f t="shared" si="0"/>
        <v>#REF!</v>
      </c>
      <c r="H8" s="3" t="e">
        <f t="shared" si="1"/>
        <v>#REF!</v>
      </c>
    </row>
    <row r="9" ht="38.25" spans="3:8">
      <c r="C9" s="2">
        <v>4</v>
      </c>
      <c r="D9" s="2" t="s">
        <v>136</v>
      </c>
      <c r="E9" s="2">
        <v>0</v>
      </c>
      <c r="F9" s="2">
        <v>0</v>
      </c>
      <c r="G9" s="2">
        <v>0</v>
      </c>
      <c r="H9" s="2" t="s">
        <v>137</v>
      </c>
    </row>
    <row r="10" ht="19.5" spans="3:8">
      <c r="C10" s="2">
        <v>5</v>
      </c>
      <c r="D10" s="2" t="s">
        <v>12</v>
      </c>
      <c r="E10" s="2">
        <v>3425.64</v>
      </c>
      <c r="F10" s="2" t="e">
        <f>对比!#REF!</f>
        <v>#REF!</v>
      </c>
      <c r="G10" s="2" t="e">
        <f t="shared" si="0"/>
        <v>#REF!</v>
      </c>
      <c r="H10" s="3" t="e">
        <f>G10/E10</f>
        <v>#REF!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对比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敏敏</dc:creator>
  <cp:lastModifiedBy>静</cp:lastModifiedBy>
  <dcterms:created xsi:type="dcterms:W3CDTF">2005-03-07T01:33:00Z</dcterms:created>
  <cp:lastPrinted>2018-04-28T04:38:00Z</cp:lastPrinted>
  <dcterms:modified xsi:type="dcterms:W3CDTF">2022-07-25T02:59:40Z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07AA07D65C12410482ADEC10DD5309FE</vt:lpwstr>
  </property>
</Properties>
</file>