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  <definedName name="_xlnm._FilterDatabase" localSheetId="0" hidden="1">Sheet1!$A$1:$H$5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<sst xmlns="http://schemas.openxmlformats.org/spreadsheetml/2006/main" count="116" uniqueCount="104">
  <si>
    <t>重庆市大足区宝兴中学学生食堂及宿舍建设工程概算总表</t>
  </si>
  <si>
    <t>序号</t>
  </si>
  <si>
    <t>项目及费用名称</t>
  </si>
  <si>
    <t>审核概算（万元）</t>
  </si>
  <si>
    <t>备注</t>
  </si>
  <si>
    <t>建筑工程费</t>
  </si>
  <si>
    <t>安装工程费</t>
  </si>
  <si>
    <t>设备工程</t>
  </si>
  <si>
    <t>其他费用</t>
  </si>
  <si>
    <t>合计</t>
  </si>
  <si>
    <t>一</t>
  </si>
  <si>
    <t>工程费用</t>
  </si>
  <si>
    <t>(一)</t>
  </si>
  <si>
    <t>土建工程</t>
  </si>
  <si>
    <t>1</t>
  </si>
  <si>
    <t>原有建筑拆除</t>
  </si>
  <si>
    <t>按19万暂估</t>
  </si>
  <si>
    <t>2</t>
  </si>
  <si>
    <t>基础工程</t>
  </si>
  <si>
    <t>3</t>
  </si>
  <si>
    <t>主体工程</t>
  </si>
  <si>
    <t>(二)</t>
  </si>
  <si>
    <t>室内装饰工程</t>
  </si>
  <si>
    <t>精装部分暂按750元/m2计算。</t>
  </si>
  <si>
    <t>(三)</t>
  </si>
  <si>
    <t>安装工程</t>
  </si>
  <si>
    <t>电气工程</t>
  </si>
  <si>
    <t>给排水工程</t>
  </si>
  <si>
    <t>火灾报警工程</t>
  </si>
  <si>
    <t>4</t>
  </si>
  <si>
    <t>新风空调工程</t>
  </si>
  <si>
    <t>5</t>
  </si>
  <si>
    <t>通风防排烟工程</t>
  </si>
  <si>
    <t>6</t>
  </si>
  <si>
    <t>弱电智能化工程</t>
  </si>
  <si>
    <t>弱电智能化工程暂按110元/m2计算</t>
  </si>
  <si>
    <t>7</t>
  </si>
  <si>
    <t>燃气工程</t>
  </si>
  <si>
    <t>燃气工程暂按65元/m2计算</t>
  </si>
  <si>
    <t>8</t>
  </si>
  <si>
    <t>抗震支架</t>
  </si>
  <si>
    <t>抗震支架暂按20元/m2计算</t>
  </si>
  <si>
    <t>9</t>
  </si>
  <si>
    <t>太阳能光伏</t>
  </si>
  <si>
    <t>按6万元暂估</t>
  </si>
  <si>
    <t>10</t>
  </si>
  <si>
    <t>供水、供气、通讯通道费用</t>
  </si>
  <si>
    <t>按5万元暂估</t>
  </si>
  <si>
    <t>(四)</t>
  </si>
  <si>
    <t>室外总图及其他工程</t>
  </si>
  <si>
    <t>室外景观</t>
  </si>
  <si>
    <t>室外管网工程</t>
  </si>
  <si>
    <t>按49.8万暂估，包含综合管网、箱变等</t>
  </si>
  <si>
    <t>土石方工程</t>
  </si>
  <si>
    <t>边坡支护工程</t>
  </si>
  <si>
    <t>(五)</t>
  </si>
  <si>
    <t>设施设备</t>
  </si>
  <si>
    <t>包含学生食堂、会议室设备,暂按可研计算</t>
  </si>
  <si>
    <t>二</t>
  </si>
  <si>
    <t>工程建设其他费</t>
  </si>
  <si>
    <t>可行性研究报告</t>
  </si>
  <si>
    <t>按合同金额计取</t>
  </si>
  <si>
    <t>工程勘察设计费用</t>
  </si>
  <si>
    <t>工程勘察费</t>
  </si>
  <si>
    <t>勘察成果审查费</t>
  </si>
  <si>
    <t>勘察外业见证费</t>
  </si>
  <si>
    <t>工程设计费</t>
  </si>
  <si>
    <t>按发改价格〔2015〕299号文并结合计价格〔2002〕10号文计取</t>
  </si>
  <si>
    <t>施工图审查费</t>
  </si>
  <si>
    <t>渝设协字〔2019〕05号结合市场价</t>
  </si>
  <si>
    <t>招标代理费</t>
  </si>
  <si>
    <t>按计价格〔2002〕1980号文计取</t>
  </si>
  <si>
    <t>工程造价咨询服务费</t>
  </si>
  <si>
    <t>概算审查费</t>
  </si>
  <si>
    <t>该费用为发改委支付</t>
  </si>
  <si>
    <t>工程量清单及组价编制费</t>
  </si>
  <si>
    <t xml:space="preserve">《重庆市建筑安装工程设计概算编制办法》CQGSBF-JA—2021 </t>
  </si>
  <si>
    <t>工程量清单及组价审核费</t>
  </si>
  <si>
    <t>工程量清单施工阶段工程造价全过程控制</t>
  </si>
  <si>
    <t>安全生产保障费</t>
  </si>
  <si>
    <t>按工程费*0.5%</t>
  </si>
  <si>
    <t>工程建设监理费</t>
  </si>
  <si>
    <t>提级论证</t>
  </si>
  <si>
    <t>城市建设配套费</t>
  </si>
  <si>
    <t>按大足府发〔2019〕4号文计取</t>
  </si>
  <si>
    <t>人防工程易地建设费</t>
  </si>
  <si>
    <t>渝价[2010]230号文</t>
  </si>
  <si>
    <t>防雷工程设计审核及检测费</t>
  </si>
  <si>
    <t>渝价[2012]410号</t>
  </si>
  <si>
    <t>项目建设管理费</t>
  </si>
  <si>
    <t>按财建〔2016〕504号文计取</t>
  </si>
  <si>
    <t>建设工程招标投标交易服务费</t>
  </si>
  <si>
    <t>按渝价[2018]54号文计取</t>
  </si>
  <si>
    <t>场地准备及临时设施费</t>
  </si>
  <si>
    <t>按工程费*0.4%</t>
  </si>
  <si>
    <t>工程保险费</t>
  </si>
  <si>
    <t>按工程费*0.3%</t>
  </si>
  <si>
    <t>三</t>
  </si>
  <si>
    <t>预备费</t>
  </si>
  <si>
    <t>基本预备费</t>
  </si>
  <si>
    <t>（一+二）*3%</t>
  </si>
  <si>
    <t>四</t>
  </si>
  <si>
    <t>建设项目总投资</t>
  </si>
  <si>
    <t>一+二+三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</si>
</sst>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b/>
      <sz val="14"/>
      <color theme="1"/>
      <name val="仿宋"/>
      <charset val="134"/>
    </font>
    <font>
      <b/>
      <sz val="11"/>
      <name val="仿宋"/>
      <charset val="134"/>
    </font>
    <font>
      <b/>
      <sz val="11"/>
      <name val="仿宋"/>
      <charset val="20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0"/>
      <color indexed="8"/>
      <name val="Arial"/>
      <charset val="0"/>
    </font>
    <font>
      <sz val="12"/>
      <name val="宋体"/>
      <charset val="134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  <xf numFmtId="0" fontId="28" fillId="0" borderId="0">
      <protection locked="0"/>
    </xf>
    <xf numFmtId="0" fontId="29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176" fontId="6" fillId="0" borderId="1" xfId="51" applyNumberFormat="1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蔡家组团L、R标准分区道路工程横二路R区段概算总表" xfId="49"/>
    <cellStyle name="常规 9" xfId="50"/>
    <cellStyle name="常规_2007HZ" xfId="51"/>
    <cellStyle name="Normal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workbookViewId="0">
      <pane ySplit="4" topLeftCell="A5" activePane="bottomLeft" state="frozen"/>
      <selection/>
      <selection pane="bottomLeft" activeCell="J19" sqref="J19"/>
    </sheetView>
  </sheetViews>
  <sheetFormatPr defaultColWidth="9" defaultRowHeight="34" customHeight="1" outlineLevelCol="7"/>
  <cols>
    <col min="1" max="1" width="8.625" style="2" customWidth="1"/>
    <col min="2" max="2" width="18.625" style="3" customWidth="1"/>
    <col min="3" max="3" width="12.875" style="4" customWidth="1"/>
    <col min="4" max="4" width="11.5" style="4" customWidth="1"/>
    <col min="5" max="5" width="11.125" style="4" customWidth="1"/>
    <col min="6" max="6" width="9.125" style="4" customWidth="1"/>
    <col min="7" max="7" width="9.25" style="4" customWidth="1"/>
    <col min="8" max="8" width="30.625" style="3" customWidth="1"/>
    <col min="9" max="9" width="11.5" style="2" customWidth="1"/>
    <col min="10" max="10" width="9" style="2"/>
    <col min="11" max="11" width="14.125" style="2"/>
    <col min="12" max="16384" width="9" style="2"/>
  </cols>
  <sheetData>
    <row r="1" customHeight="1" spans="1:8">
      <c r="A1" s="5" t="s">
        <v>0</v>
      </c>
      <c r="B1" s="5"/>
      <c r="C1" s="6"/>
      <c r="D1" s="6"/>
      <c r="E1" s="6"/>
      <c r="F1" s="6"/>
      <c r="G1" s="6"/>
      <c r="H1" s="6"/>
    </row>
    <row r="2" customHeight="1" spans="1:8">
      <c r="A2" s="7" t="s">
        <v>1</v>
      </c>
      <c r="B2" s="7" t="s">
        <v>2</v>
      </c>
      <c r="C2" s="8" t="s">
        <v>3</v>
      </c>
      <c r="D2" s="8"/>
      <c r="E2" s="8"/>
      <c r="F2" s="8"/>
      <c r="G2" s="8"/>
      <c r="H2" s="8" t="s">
        <v>4</v>
      </c>
    </row>
    <row r="3" customHeight="1" spans="1:8">
      <c r="A3" s="7"/>
      <c r="B3" s="7"/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/>
    </row>
    <row r="4" s="1" customFormat="1" customHeight="1" spans="1:8">
      <c r="A4" s="9" t="s">
        <v>10</v>
      </c>
      <c r="B4" s="10" t="s">
        <v>11</v>
      </c>
      <c r="C4" s="11">
        <f>+C5+C9+C10+C21+C26</f>
        <v>548.467656</v>
      </c>
      <c r="D4" s="11">
        <f>+D5+D9+D10+D21+D26</f>
        <v>181.606184</v>
      </c>
      <c r="E4" s="11">
        <f>+E5+E9+E10+E21+E26</f>
        <v>51.011</v>
      </c>
      <c r="F4" s="11">
        <f>+F5+F9+F10+F21+F26</f>
        <v>0</v>
      </c>
      <c r="G4" s="8">
        <f>+C4+D4+E4+F4</f>
        <v>781.08484</v>
      </c>
      <c r="H4" s="7"/>
    </row>
    <row r="5" s="1" customFormat="1" customHeight="1" spans="1:8">
      <c r="A5" s="9" t="s">
        <v>12</v>
      </c>
      <c r="B5" s="10" t="s">
        <v>13</v>
      </c>
      <c r="C5" s="11">
        <f>SUM(C6:C8)</f>
        <v>370.938145</v>
      </c>
      <c r="D5" s="12"/>
      <c r="E5" s="12"/>
      <c r="F5" s="12"/>
      <c r="G5" s="8">
        <f t="shared" ref="G4:G27" si="0">+C5+D5+E5+F5</f>
        <v>370.938145</v>
      </c>
      <c r="H5" s="7"/>
    </row>
    <row r="6" customHeight="1" spans="1:8">
      <c r="A6" s="13" t="s">
        <v>14</v>
      </c>
      <c r="B6" s="14" t="s">
        <v>15</v>
      </c>
      <c r="C6" s="15">
        <v>19</v>
      </c>
      <c r="D6" s="15"/>
      <c r="E6" s="15"/>
      <c r="F6" s="15"/>
      <c r="G6" s="16">
        <f t="shared" si="0"/>
        <v>19</v>
      </c>
      <c r="H6" s="14" t="s">
        <v>16</v>
      </c>
    </row>
    <row r="7" customHeight="1" spans="1:8">
      <c r="A7" s="13" t="s">
        <v>17</v>
      </c>
      <c r="B7" s="14" t="s">
        <v>18</v>
      </c>
      <c r="C7" s="15">
        <f>499613.55/10000</f>
        <v>49.961355</v>
      </c>
      <c r="D7" s="15"/>
      <c r="E7" s="15"/>
      <c r="F7" s="15"/>
      <c r="G7" s="16">
        <f t="shared" si="0"/>
        <v>49.961355</v>
      </c>
      <c r="H7" s="14"/>
    </row>
    <row r="8" customHeight="1" spans="1:8">
      <c r="A8" s="13" t="s">
        <v>19</v>
      </c>
      <c r="B8" s="14" t="s">
        <v>20</v>
      </c>
      <c r="C8" s="15">
        <f>3019767.9/10000</f>
        <v>301.97679</v>
      </c>
      <c r="D8" s="15"/>
      <c r="E8" s="15"/>
      <c r="F8" s="15"/>
      <c r="G8" s="16">
        <f t="shared" si="0"/>
        <v>301.97679</v>
      </c>
      <c r="H8" s="14"/>
    </row>
    <row r="9" s="1" customFormat="1" customHeight="1" spans="1:8">
      <c r="A9" s="17" t="s">
        <v>21</v>
      </c>
      <c r="B9" s="7" t="s">
        <v>22</v>
      </c>
      <c r="C9" s="18">
        <f>1375.64*750/10000</f>
        <v>103.173</v>
      </c>
      <c r="D9" s="18"/>
      <c r="E9" s="18"/>
      <c r="F9" s="18"/>
      <c r="G9" s="8">
        <f t="shared" si="0"/>
        <v>103.173</v>
      </c>
      <c r="H9" s="7" t="s">
        <v>23</v>
      </c>
    </row>
    <row r="10" s="1" customFormat="1" customHeight="1" spans="1:8">
      <c r="A10" s="17" t="s">
        <v>24</v>
      </c>
      <c r="B10" s="7" t="s">
        <v>25</v>
      </c>
      <c r="C10" s="18">
        <f>SUM(C11:C20)</f>
        <v>0</v>
      </c>
      <c r="D10" s="18">
        <f>SUM(D11:D20)</f>
        <v>131.806184</v>
      </c>
      <c r="E10" s="18">
        <f>SUM(E11:E20)</f>
        <v>0</v>
      </c>
      <c r="F10" s="18">
        <f>SUM(F11:F20)</f>
        <v>0</v>
      </c>
      <c r="G10" s="8">
        <f t="shared" si="0"/>
        <v>131.806184</v>
      </c>
      <c r="H10" s="7"/>
    </row>
    <row r="11" customHeight="1" spans="1:8">
      <c r="A11" s="13" t="s">
        <v>14</v>
      </c>
      <c r="B11" s="14" t="s">
        <v>26</v>
      </c>
      <c r="C11" s="15"/>
      <c r="D11" s="15">
        <f>481162.05/10000</f>
        <v>48.116205</v>
      </c>
      <c r="E11" s="15"/>
      <c r="F11" s="15"/>
      <c r="G11" s="16">
        <f t="shared" si="0"/>
        <v>48.116205</v>
      </c>
      <c r="H11" s="14"/>
    </row>
    <row r="12" customHeight="1" spans="1:8">
      <c r="A12" s="13" t="s">
        <v>17</v>
      </c>
      <c r="B12" s="14" t="s">
        <v>27</v>
      </c>
      <c r="C12" s="15"/>
      <c r="D12" s="15">
        <f>134887.04/10000</f>
        <v>13.488704</v>
      </c>
      <c r="E12" s="15"/>
      <c r="F12" s="15"/>
      <c r="G12" s="16">
        <f t="shared" si="0"/>
        <v>13.488704</v>
      </c>
      <c r="H12" s="14"/>
    </row>
    <row r="13" customHeight="1" spans="1:8">
      <c r="A13" s="13" t="s">
        <v>19</v>
      </c>
      <c r="B13" s="14" t="s">
        <v>28</v>
      </c>
      <c r="C13" s="15"/>
      <c r="D13" s="15">
        <f>52005.47/10000</f>
        <v>5.200547</v>
      </c>
      <c r="E13" s="15"/>
      <c r="F13" s="15"/>
      <c r="G13" s="16">
        <f t="shared" si="0"/>
        <v>5.200547</v>
      </c>
      <c r="H13" s="14"/>
    </row>
    <row r="14" customHeight="1" spans="1:8">
      <c r="A14" s="13" t="s">
        <v>29</v>
      </c>
      <c r="B14" s="14" t="s">
        <v>30</v>
      </c>
      <c r="C14" s="15"/>
      <c r="D14" s="15">
        <f>164976.02/10000</f>
        <v>16.497602</v>
      </c>
      <c r="E14" s="15"/>
      <c r="F14" s="15"/>
      <c r="G14" s="16">
        <f t="shared" si="0"/>
        <v>16.497602</v>
      </c>
      <c r="H14" s="14"/>
    </row>
    <row r="15" customHeight="1" spans="1:8">
      <c r="A15" s="13" t="s">
        <v>31</v>
      </c>
      <c r="B15" s="14" t="s">
        <v>32</v>
      </c>
      <c r="C15" s="15"/>
      <c r="D15" s="15">
        <f>106781.46/10000</f>
        <v>10.678146</v>
      </c>
      <c r="E15" s="15"/>
      <c r="F15" s="15"/>
      <c r="G15" s="16">
        <f t="shared" si="0"/>
        <v>10.678146</v>
      </c>
      <c r="H15" s="14"/>
    </row>
    <row r="16" customHeight="1" spans="1:8">
      <c r="A16" s="13" t="s">
        <v>33</v>
      </c>
      <c r="B16" s="14" t="s">
        <v>34</v>
      </c>
      <c r="C16" s="15"/>
      <c r="D16" s="15">
        <f>1375.64*110/10000</f>
        <v>15.13204</v>
      </c>
      <c r="E16" s="15"/>
      <c r="F16" s="15"/>
      <c r="G16" s="16">
        <f t="shared" si="0"/>
        <v>15.13204</v>
      </c>
      <c r="H16" s="14" t="s">
        <v>35</v>
      </c>
    </row>
    <row r="17" customHeight="1" spans="1:8">
      <c r="A17" s="13" t="s">
        <v>36</v>
      </c>
      <c r="B17" s="14" t="s">
        <v>37</v>
      </c>
      <c r="C17" s="15"/>
      <c r="D17" s="15">
        <f>1375.64*65/10000</f>
        <v>8.94166</v>
      </c>
      <c r="E17" s="15"/>
      <c r="F17" s="15"/>
      <c r="G17" s="16">
        <f t="shared" si="0"/>
        <v>8.94166</v>
      </c>
      <c r="H17" s="14" t="s">
        <v>38</v>
      </c>
    </row>
    <row r="18" customHeight="1" spans="1:8">
      <c r="A18" s="13" t="s">
        <v>39</v>
      </c>
      <c r="B18" s="14" t="s">
        <v>40</v>
      </c>
      <c r="C18" s="15"/>
      <c r="D18" s="15">
        <f>1375.64*20/10000</f>
        <v>2.75128</v>
      </c>
      <c r="E18" s="15"/>
      <c r="F18" s="15"/>
      <c r="G18" s="16">
        <f t="shared" si="0"/>
        <v>2.75128</v>
      </c>
      <c r="H18" s="14" t="s">
        <v>41</v>
      </c>
    </row>
    <row r="19" customHeight="1" spans="1:8">
      <c r="A19" s="13" t="s">
        <v>42</v>
      </c>
      <c r="B19" s="14" t="s">
        <v>43</v>
      </c>
      <c r="C19" s="15"/>
      <c r="D19" s="15">
        <v>6</v>
      </c>
      <c r="E19" s="15"/>
      <c r="F19" s="15"/>
      <c r="G19" s="16">
        <f t="shared" si="0"/>
        <v>6</v>
      </c>
      <c r="H19" s="14" t="s">
        <v>44</v>
      </c>
    </row>
    <row r="20" customHeight="1" spans="1:8">
      <c r="A20" s="13" t="s">
        <v>45</v>
      </c>
      <c r="B20" s="14" t="s">
        <v>46</v>
      </c>
      <c r="C20" s="15"/>
      <c r="D20" s="15">
        <v>5</v>
      </c>
      <c r="E20" s="15"/>
      <c r="F20" s="15"/>
      <c r="G20" s="16">
        <f t="shared" si="0"/>
        <v>5</v>
      </c>
      <c r="H20" s="14" t="s">
        <v>47</v>
      </c>
    </row>
    <row r="21" s="1" customFormat="1" customHeight="1" spans="1:8">
      <c r="A21" s="17" t="s">
        <v>48</v>
      </c>
      <c r="B21" s="7" t="s">
        <v>49</v>
      </c>
      <c r="C21" s="18">
        <f>SUM(C22:C25)</f>
        <v>74.356511</v>
      </c>
      <c r="D21" s="18">
        <f>SUM(D22:D25)</f>
        <v>49.8</v>
      </c>
      <c r="E21" s="18">
        <f>SUM(E22:E25)</f>
        <v>0</v>
      </c>
      <c r="F21" s="18">
        <f>SUM(F22:F25)</f>
        <v>0</v>
      </c>
      <c r="G21" s="8">
        <f t="shared" si="0"/>
        <v>124.156511</v>
      </c>
      <c r="H21" s="7"/>
    </row>
    <row r="22" customHeight="1" spans="1:8">
      <c r="A22" s="13" t="s">
        <v>14</v>
      </c>
      <c r="B22" s="14" t="s">
        <v>50</v>
      </c>
      <c r="C22" s="15">
        <f>(129959.04+53532.88)/10000</f>
        <v>18.349192</v>
      </c>
      <c r="D22" s="15"/>
      <c r="E22" s="15"/>
      <c r="F22" s="15"/>
      <c r="G22" s="16">
        <f t="shared" si="0"/>
        <v>18.349192</v>
      </c>
      <c r="H22" s="14"/>
    </row>
    <row r="23" customHeight="1" spans="1:8">
      <c r="A23" s="13" t="s">
        <v>17</v>
      </c>
      <c r="B23" s="14" t="s">
        <v>51</v>
      </c>
      <c r="C23" s="15"/>
      <c r="D23" s="15">
        <v>49.8</v>
      </c>
      <c r="E23" s="15"/>
      <c r="F23" s="15"/>
      <c r="G23" s="16">
        <f t="shared" si="0"/>
        <v>49.8</v>
      </c>
      <c r="H23" s="14" t="s">
        <v>52</v>
      </c>
    </row>
    <row r="24" customHeight="1" spans="1:8">
      <c r="A24" s="13" t="s">
        <v>19</v>
      </c>
      <c r="B24" s="14" t="s">
        <v>53</v>
      </c>
      <c r="C24" s="15">
        <f>141606.36/10000</f>
        <v>14.160636</v>
      </c>
      <c r="D24" s="15"/>
      <c r="E24" s="15"/>
      <c r="F24" s="15"/>
      <c r="G24" s="16">
        <f t="shared" si="0"/>
        <v>14.160636</v>
      </c>
      <c r="H24" s="14"/>
    </row>
    <row r="25" customHeight="1" spans="1:8">
      <c r="A25" s="13" t="s">
        <v>29</v>
      </c>
      <c r="B25" s="14" t="s">
        <v>54</v>
      </c>
      <c r="C25" s="15">
        <f>418466.83/10000</f>
        <v>41.846683</v>
      </c>
      <c r="D25" s="15"/>
      <c r="E25" s="15"/>
      <c r="F25" s="15"/>
      <c r="G25" s="16">
        <f t="shared" si="0"/>
        <v>41.846683</v>
      </c>
      <c r="H25" s="14"/>
    </row>
    <row r="26" s="1" customFormat="1" customHeight="1" spans="1:8">
      <c r="A26" s="17" t="s">
        <v>55</v>
      </c>
      <c r="B26" s="7" t="s">
        <v>56</v>
      </c>
      <c r="C26" s="18"/>
      <c r="D26" s="18"/>
      <c r="E26" s="18">
        <v>51.011</v>
      </c>
      <c r="F26" s="18"/>
      <c r="G26" s="8">
        <f t="shared" si="0"/>
        <v>51.011</v>
      </c>
      <c r="H26" s="7" t="s">
        <v>57</v>
      </c>
    </row>
    <row r="27" s="1" customFormat="1" customHeight="1" spans="1:8">
      <c r="A27" s="17" t="s">
        <v>58</v>
      </c>
      <c r="B27" s="7" t="s">
        <v>59</v>
      </c>
      <c r="C27" s="18"/>
      <c r="D27" s="18"/>
      <c r="E27" s="18"/>
      <c r="F27" s="18">
        <f>+F28+F29+F34+F35+F36+F41+F42+F43+F44+F45+F46+F47+F48+F49+F50</f>
        <v>100.0928467564</v>
      </c>
      <c r="G27" s="8">
        <f t="shared" si="0"/>
        <v>100.0928467564</v>
      </c>
      <c r="H27" s="7"/>
    </row>
    <row r="28" customHeight="1" spans="1:8">
      <c r="A28" s="19">
        <v>1</v>
      </c>
      <c r="B28" s="20" t="s">
        <v>60</v>
      </c>
      <c r="C28" s="15"/>
      <c r="D28" s="15"/>
      <c r="E28" s="15"/>
      <c r="F28" s="15">
        <v>1.5</v>
      </c>
      <c r="G28" s="16">
        <f t="shared" ref="G28:G50" si="1">+C28+D28+E28+F28</f>
        <v>1.5</v>
      </c>
      <c r="H28" s="14" t="s">
        <v>61</v>
      </c>
    </row>
    <row r="29" customHeight="1" spans="1:8">
      <c r="A29" s="19">
        <v>2</v>
      </c>
      <c r="B29" s="20" t="s">
        <v>62</v>
      </c>
      <c r="C29" s="15"/>
      <c r="D29" s="15"/>
      <c r="E29" s="15"/>
      <c r="F29" s="15">
        <f>+F30+F31+F32+F33</f>
        <v>24.6239860904</v>
      </c>
      <c r="G29" s="16">
        <f t="shared" si="1"/>
        <v>24.6239860904</v>
      </c>
      <c r="H29" s="14"/>
    </row>
    <row r="30" customHeight="1" spans="1:8">
      <c r="A30" s="19">
        <v>2.1</v>
      </c>
      <c r="B30" s="20" t="s">
        <v>63</v>
      </c>
      <c r="C30" s="15"/>
      <c r="D30" s="15"/>
      <c r="E30" s="15"/>
      <c r="F30" s="21">
        <v>2.2</v>
      </c>
      <c r="G30" s="16">
        <f t="shared" si="1"/>
        <v>2.2</v>
      </c>
      <c r="H30" s="14" t="s">
        <v>61</v>
      </c>
    </row>
    <row r="31" customHeight="1" spans="1:8">
      <c r="A31" s="19">
        <v>2.2</v>
      </c>
      <c r="B31" s="20" t="s">
        <v>64</v>
      </c>
      <c r="C31" s="15"/>
      <c r="D31" s="15"/>
      <c r="E31" s="15"/>
      <c r="F31" s="21">
        <v>0.5</v>
      </c>
      <c r="G31" s="16">
        <f t="shared" si="1"/>
        <v>0.5</v>
      </c>
      <c r="H31" s="14" t="s">
        <v>61</v>
      </c>
    </row>
    <row r="32" customHeight="1" spans="1:8">
      <c r="A32" s="19">
        <v>2.3</v>
      </c>
      <c r="B32" s="20" t="s">
        <v>65</v>
      </c>
      <c r="C32" s="15"/>
      <c r="D32" s="15"/>
      <c r="E32" s="15"/>
      <c r="F32" s="21">
        <v>0.25</v>
      </c>
      <c r="G32" s="16">
        <f t="shared" si="1"/>
        <v>0.25</v>
      </c>
      <c r="H32" s="14" t="s">
        <v>61</v>
      </c>
    </row>
    <row r="33" customHeight="1" spans="1:8">
      <c r="A33" s="19">
        <v>2.4</v>
      </c>
      <c r="B33" s="20" t="s">
        <v>66</v>
      </c>
      <c r="C33" s="15"/>
      <c r="D33" s="15"/>
      <c r="E33" s="15"/>
      <c r="F33" s="15">
        <f>(20.9+(G4-500)/(1000-500)*(38.8-20.9))*0.7</f>
        <v>21.6739860904</v>
      </c>
      <c r="G33" s="16">
        <f t="shared" si="1"/>
        <v>21.6739860904</v>
      </c>
      <c r="H33" s="14" t="s">
        <v>67</v>
      </c>
    </row>
    <row r="34" customHeight="1" spans="1:8">
      <c r="A34" s="19">
        <v>3</v>
      </c>
      <c r="B34" s="20" t="s">
        <v>68</v>
      </c>
      <c r="C34" s="15"/>
      <c r="D34" s="15"/>
      <c r="E34" s="15"/>
      <c r="F34" s="15">
        <f>1375.64*10/10000</f>
        <v>1.37564</v>
      </c>
      <c r="G34" s="16">
        <f t="shared" si="1"/>
        <v>1.37564</v>
      </c>
      <c r="H34" s="14" t="s">
        <v>69</v>
      </c>
    </row>
    <row r="35" customHeight="1" spans="1:8">
      <c r="A35" s="19">
        <v>4</v>
      </c>
      <c r="B35" s="20" t="s">
        <v>70</v>
      </c>
      <c r="C35" s="15"/>
      <c r="D35" s="15"/>
      <c r="E35" s="15"/>
      <c r="F35" s="15">
        <f>100*1%+400*0.7%+(G4-500)*0.55%</f>
        <v>5.34596662</v>
      </c>
      <c r="G35" s="16">
        <f t="shared" si="1"/>
        <v>5.34596662</v>
      </c>
      <c r="H35" s="14" t="s">
        <v>71</v>
      </c>
    </row>
    <row r="36" customHeight="1" spans="1:8">
      <c r="A36" s="19">
        <v>5</v>
      </c>
      <c r="B36" s="22" t="s">
        <v>72</v>
      </c>
      <c r="C36" s="15"/>
      <c r="D36" s="15"/>
      <c r="E36" s="15"/>
      <c r="F36" s="15">
        <f>+F37+F38+F39+F40</f>
        <v>9.0807426976</v>
      </c>
      <c r="G36" s="16">
        <f t="shared" si="1"/>
        <v>9.0807426976</v>
      </c>
      <c r="H36" s="14"/>
    </row>
    <row r="37" customHeight="1" spans="1:8">
      <c r="A37" s="19">
        <v>5.1</v>
      </c>
      <c r="B37" s="22" t="s">
        <v>73</v>
      </c>
      <c r="C37" s="15"/>
      <c r="D37" s="15"/>
      <c r="E37" s="15"/>
      <c r="F37" s="15">
        <v>0</v>
      </c>
      <c r="G37" s="16">
        <f t="shared" si="1"/>
        <v>0</v>
      </c>
      <c r="H37" s="14" t="s">
        <v>74</v>
      </c>
    </row>
    <row r="38" customHeight="1" spans="1:8">
      <c r="A38" s="19">
        <v>5.2</v>
      </c>
      <c r="B38" s="22" t="s">
        <v>75</v>
      </c>
      <c r="C38" s="15"/>
      <c r="D38" s="15"/>
      <c r="E38" s="15"/>
      <c r="F38" s="15">
        <f>(500*0.35%+(G4-500)*0.32%)*0.7</f>
        <v>1.8546300416</v>
      </c>
      <c r="G38" s="16">
        <f t="shared" si="1"/>
        <v>1.8546300416</v>
      </c>
      <c r="H38" s="23" t="s">
        <v>76</v>
      </c>
    </row>
    <row r="39" customHeight="1" spans="1:8">
      <c r="A39" s="19">
        <v>5.3</v>
      </c>
      <c r="B39" s="22" t="s">
        <v>77</v>
      </c>
      <c r="C39" s="15"/>
      <c r="D39" s="15"/>
      <c r="E39" s="15"/>
      <c r="F39" s="15">
        <f>F38</f>
        <v>1.8546300416</v>
      </c>
      <c r="G39" s="16">
        <f t="shared" si="1"/>
        <v>1.8546300416</v>
      </c>
      <c r="H39" s="24"/>
    </row>
    <row r="40" customHeight="1" spans="1:8">
      <c r="A40" s="19">
        <v>5.4</v>
      </c>
      <c r="B40" s="22" t="s">
        <v>78</v>
      </c>
      <c r="C40" s="15"/>
      <c r="D40" s="15"/>
      <c r="E40" s="15"/>
      <c r="F40" s="15">
        <f>(500*1.04%+(G4-500)*0.88%)*0.7</f>
        <v>5.3714826144</v>
      </c>
      <c r="G40" s="16">
        <f t="shared" si="1"/>
        <v>5.3714826144</v>
      </c>
      <c r="H40" s="25"/>
    </row>
    <row r="41" customHeight="1" spans="1:8">
      <c r="A41" s="19">
        <v>6</v>
      </c>
      <c r="B41" s="22" t="s">
        <v>79</v>
      </c>
      <c r="C41" s="15"/>
      <c r="D41" s="15"/>
      <c r="E41" s="15"/>
      <c r="F41" s="15">
        <f>G4*0.5%</f>
        <v>3.9054242</v>
      </c>
      <c r="G41" s="16">
        <f t="shared" si="1"/>
        <v>3.9054242</v>
      </c>
      <c r="H41" s="14" t="s">
        <v>80</v>
      </c>
    </row>
    <row r="42" customHeight="1" spans="1:8">
      <c r="A42" s="19">
        <v>7</v>
      </c>
      <c r="B42" s="20" t="s">
        <v>81</v>
      </c>
      <c r="C42" s="15"/>
      <c r="D42" s="15"/>
      <c r="E42" s="15"/>
      <c r="F42" s="15">
        <v>17.75</v>
      </c>
      <c r="G42" s="16">
        <f t="shared" si="1"/>
        <v>17.75</v>
      </c>
      <c r="H42" s="14" t="s">
        <v>61</v>
      </c>
    </row>
    <row r="43" customHeight="1" spans="1:8">
      <c r="A43" s="19">
        <v>8</v>
      </c>
      <c r="B43" s="20" t="s">
        <v>82</v>
      </c>
      <c r="C43" s="15"/>
      <c r="D43" s="15"/>
      <c r="E43" s="15"/>
      <c r="F43" s="15">
        <v>0.5</v>
      </c>
      <c r="G43" s="16">
        <f t="shared" si="1"/>
        <v>0.5</v>
      </c>
      <c r="H43" s="14" t="s">
        <v>61</v>
      </c>
    </row>
    <row r="44" customHeight="1" spans="1:8">
      <c r="A44" s="19">
        <v>9</v>
      </c>
      <c r="B44" s="26" t="s">
        <v>83</v>
      </c>
      <c r="C44" s="15"/>
      <c r="D44" s="15"/>
      <c r="E44" s="15"/>
      <c r="F44" s="15">
        <f>1375.64*120/10000*0.5</f>
        <v>8.25384</v>
      </c>
      <c r="G44" s="16">
        <f t="shared" si="1"/>
        <v>8.25384</v>
      </c>
      <c r="H44" s="14" t="s">
        <v>84</v>
      </c>
    </row>
    <row r="45" customHeight="1" spans="1:8">
      <c r="A45" s="19">
        <v>10</v>
      </c>
      <c r="B45" s="26" t="s">
        <v>85</v>
      </c>
      <c r="C45" s="15"/>
      <c r="D45" s="15"/>
      <c r="E45" s="15"/>
      <c r="F45" s="15">
        <f>1375.64*25/10000</f>
        <v>3.4391</v>
      </c>
      <c r="G45" s="16">
        <f t="shared" si="1"/>
        <v>3.4391</v>
      </c>
      <c r="H45" s="14" t="s">
        <v>86</v>
      </c>
    </row>
    <row r="46" customHeight="1" spans="1:8">
      <c r="A46" s="19">
        <v>11</v>
      </c>
      <c r="B46" s="27" t="s">
        <v>87</v>
      </c>
      <c r="C46" s="15"/>
      <c r="D46" s="15"/>
      <c r="E46" s="15"/>
      <c r="F46" s="15">
        <v>0.3</v>
      </c>
      <c r="G46" s="16">
        <f t="shared" si="1"/>
        <v>0.3</v>
      </c>
      <c r="H46" s="14" t="s">
        <v>88</v>
      </c>
    </row>
    <row r="47" customHeight="1" spans="1:8">
      <c r="A47" s="19">
        <v>12</v>
      </c>
      <c r="B47" s="14" t="s">
        <v>89</v>
      </c>
      <c r="C47" s="15"/>
      <c r="D47" s="15"/>
      <c r="E47" s="15"/>
      <c r="F47" s="15">
        <f>G54*2%</f>
        <v>18.1522</v>
      </c>
      <c r="G47" s="16">
        <f t="shared" si="1"/>
        <v>18.1522</v>
      </c>
      <c r="H47" s="14" t="s">
        <v>90</v>
      </c>
    </row>
    <row r="48" customHeight="1" spans="1:8">
      <c r="A48" s="19">
        <v>13</v>
      </c>
      <c r="B48" s="14" t="s">
        <v>91</v>
      </c>
      <c r="C48" s="15"/>
      <c r="D48" s="15"/>
      <c r="E48" s="15"/>
      <c r="F48" s="15">
        <f>G4*0.17%*0.3</f>
        <v>0.3983532684</v>
      </c>
      <c r="G48" s="16">
        <f t="shared" si="1"/>
        <v>0.3983532684</v>
      </c>
      <c r="H48" s="14" t="s">
        <v>92</v>
      </c>
    </row>
    <row r="49" customHeight="1" spans="1:8">
      <c r="A49" s="19">
        <v>14</v>
      </c>
      <c r="B49" s="14" t="s">
        <v>93</v>
      </c>
      <c r="C49" s="15"/>
      <c r="D49" s="15"/>
      <c r="E49" s="15"/>
      <c r="F49" s="15">
        <f>G4*0.4%</f>
        <v>3.12433936</v>
      </c>
      <c r="G49" s="16">
        <f t="shared" si="1"/>
        <v>3.12433936</v>
      </c>
      <c r="H49" s="14" t="s">
        <v>94</v>
      </c>
    </row>
    <row r="50" customHeight="1" spans="1:8">
      <c r="A50" s="19">
        <v>15</v>
      </c>
      <c r="B50" s="14" t="s">
        <v>95</v>
      </c>
      <c r="C50" s="15"/>
      <c r="D50" s="15"/>
      <c r="E50" s="15"/>
      <c r="F50" s="15">
        <f>G4*0.3%</f>
        <v>2.34325452</v>
      </c>
      <c r="G50" s="16">
        <f t="shared" si="1"/>
        <v>2.34325452</v>
      </c>
      <c r="H50" s="14" t="s">
        <v>96</v>
      </c>
    </row>
    <row r="51" s="1" customFormat="1" customHeight="1" spans="1:8">
      <c r="A51" s="17" t="s">
        <v>97</v>
      </c>
      <c r="B51" s="7" t="s">
        <v>98</v>
      </c>
      <c r="C51" s="18"/>
      <c r="D51" s="18"/>
      <c r="E51" s="18"/>
      <c r="F51" s="18">
        <f>+F52</f>
        <v>26.435330602692</v>
      </c>
      <c r="G51" s="18">
        <f>+F51</f>
        <v>26.435330602692</v>
      </c>
      <c r="H51" s="7"/>
    </row>
    <row r="52" s="2" customFormat="1" customHeight="1" spans="1:8">
      <c r="A52" s="13">
        <v>1</v>
      </c>
      <c r="B52" s="14" t="s">
        <v>99</v>
      </c>
      <c r="C52" s="15"/>
      <c r="D52" s="15"/>
      <c r="E52" s="15"/>
      <c r="F52" s="15">
        <f>(G4+G27)*3%</f>
        <v>26.435330602692</v>
      </c>
      <c r="G52" s="15">
        <f>+F52</f>
        <v>26.435330602692</v>
      </c>
      <c r="H52" s="14" t="s">
        <v>100</v>
      </c>
    </row>
    <row r="53" s="1" customFormat="1" customHeight="1" spans="1:8">
      <c r="A53" s="17" t="s">
        <v>101</v>
      </c>
      <c r="B53" s="7" t="s">
        <v>102</v>
      </c>
      <c r="C53" s="18"/>
      <c r="D53" s="18"/>
      <c r="E53" s="18"/>
      <c r="F53" s="18"/>
      <c r="G53" s="18">
        <f>+G51+G27+G4</f>
        <v>907.613017359092</v>
      </c>
      <c r="H53" s="7" t="s">
        <v>103</v>
      </c>
    </row>
    <row r="54" customHeight="1" spans="7:7">
      <c r="G54" s="4">
        <v>907.61</v>
      </c>
    </row>
  </sheetData>
  <mergeCells count="6">
    <mergeCell ref="A1:H1"/>
    <mergeCell ref="C2:G2"/>
    <mergeCell ref="A2:A3"/>
    <mergeCell ref="B2:B3"/>
    <mergeCell ref="H2:H3"/>
    <mergeCell ref="H38:H40"/>
  </mergeCells>
  <dataValidations count="1">
    <dataValidation allowBlank="1" showInputMessage="1" showErrorMessage="1" sqref="F30:F32"/>
  </dataValidations>
  <pageMargins left="0.700694444444445" right="0.700694444444445" top="0.751388888888889" bottom="0.751388888888889" header="0.298611111111111" footer="0.298611111111111"/>
  <pageSetup paperSize="9" scale="73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四夕</cp:lastModifiedBy>
  <dcterms:created xsi:type="dcterms:W3CDTF">2020-05-22T01:01:00Z</dcterms:created>
  <dcterms:modified xsi:type="dcterms:W3CDTF">2025-03-23T04:37:19Z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B5374BF2B7E840929C8AF49519EE10C7</vt:lpwstr>
  </property>
</Properties>
</file>