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概算汇总表" sheetId="1" r:id="rId1"/>
    <sheet name="概算对比分析表" sheetId="3" r:id="rId2"/>
  </sheets>
  <definedNames>
    <definedName name="_xlnm.Print_Area" localSheetId="1">概算对比分析表!$A$1:$Q$54</definedName>
    <definedName name="_xlnm.Print_Area" localSheetId="0">概算汇总表!$A$1:$L$53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<sst xmlns="http://schemas.openxmlformats.org/spreadsheetml/2006/main" count="287" uniqueCount="111">
  <si>
    <t>概算汇总表</t>
  </si>
  <si>
    <t>工程名称：大足田家炳中学校高中教学楼和体育馆新建工程</t>
  </si>
  <si>
    <t>单位：人民币万元</t>
  </si>
  <si>
    <t>序号</t>
  </si>
  <si>
    <t>项目及费用名称</t>
  </si>
  <si>
    <t>概算造价</t>
  </si>
  <si>
    <t>技术经济指标</t>
  </si>
  <si>
    <t>占总投资比例</t>
  </si>
  <si>
    <t>备注</t>
  </si>
  <si>
    <t>建筑
工程费</t>
  </si>
  <si>
    <t>安装
工程费</t>
  </si>
  <si>
    <t>设备
购置费</t>
  </si>
  <si>
    <t>其他费用</t>
  </si>
  <si>
    <t>合计</t>
  </si>
  <si>
    <t>单位</t>
  </si>
  <si>
    <t>数量</t>
  </si>
  <si>
    <t>单位造价(元)</t>
  </si>
  <si>
    <t>根据相关文件计取费用</t>
  </si>
  <si>
    <t>一</t>
  </si>
  <si>
    <t>工程费用</t>
  </si>
  <si>
    <t>m2</t>
  </si>
  <si>
    <t>详概算书</t>
  </si>
  <si>
    <t>1</t>
  </si>
  <si>
    <t>教学楼</t>
  </si>
  <si>
    <t>1.1</t>
  </si>
  <si>
    <t>土建工程</t>
  </si>
  <si>
    <t>1.2</t>
  </si>
  <si>
    <t>电气工程</t>
  </si>
  <si>
    <t>1.3</t>
  </si>
  <si>
    <t>给排水工程</t>
  </si>
  <si>
    <t>1.4</t>
  </si>
  <si>
    <t>暖通工程</t>
  </si>
  <si>
    <t>1.5</t>
  </si>
  <si>
    <t>消防水工程</t>
  </si>
  <si>
    <t>1.6</t>
  </si>
  <si>
    <t>电梯工程</t>
  </si>
  <si>
    <t>体育馆</t>
  </si>
  <si>
    <t>室外工程</t>
  </si>
  <si>
    <t>室外景观工程</t>
  </si>
  <si>
    <t>根据回复按1562.11m2计算</t>
  </si>
  <si>
    <t>绿化工程</t>
  </si>
  <si>
    <t>根据回复按3123.64m2计算</t>
  </si>
  <si>
    <t>二</t>
  </si>
  <si>
    <t>工程建设其他费用</t>
  </si>
  <si>
    <t>（一)</t>
  </si>
  <si>
    <t>与项目建设有关的其他费用</t>
  </si>
  <si>
    <t>场地准备及临时设施费</t>
  </si>
  <si>
    <t>《重庆市建筑安装工程设计概算编制办法》（CQGSBF-JA—2021），按工程费的0.5%计取</t>
  </si>
  <si>
    <t>建设管理代建费</t>
  </si>
  <si>
    <t>《重庆市建筑安装工程设计概算编制办法》（CQGSBF-JA—2021）下浮20%计取</t>
  </si>
  <si>
    <t>工程建设监理费</t>
  </si>
  <si>
    <t>招标代理服务费</t>
  </si>
  <si>
    <t>招投标交易服务费</t>
  </si>
  <si>
    <t>不计算</t>
  </si>
  <si>
    <t>前期工作费</t>
  </si>
  <si>
    <t>编制可行性研究报告</t>
  </si>
  <si>
    <t>《重庆市建筑安装工程设计概算编制办法》（CQGSBF-JA—2021）下浮40%计取</t>
  </si>
  <si>
    <t>评估可行性研究报告</t>
  </si>
  <si>
    <t>环境影响评价费</t>
  </si>
  <si>
    <t>计价格[2002]125号文下浮20%计取</t>
  </si>
  <si>
    <t>咨询费</t>
  </si>
  <si>
    <t>工程提级论证报告</t>
  </si>
  <si>
    <t>按已签订合同计算</t>
  </si>
  <si>
    <t>施工图设计费</t>
  </si>
  <si>
    <t>按已签订合同计算，含概算编制</t>
  </si>
  <si>
    <t>施工图审查费</t>
  </si>
  <si>
    <t>按业主联系函回复金额计算</t>
  </si>
  <si>
    <t>工程勘察费</t>
  </si>
  <si>
    <t>外业见证费</t>
  </si>
  <si>
    <t>勘察成果审查费</t>
  </si>
  <si>
    <t>工程造价咨询费</t>
  </si>
  <si>
    <t>根据《重庆市建筑安装工程设计概算编制办法》（CQGSBF-JA—2021）下浮20%计取</t>
  </si>
  <si>
    <t>7.7.1</t>
  </si>
  <si>
    <t>概算审核咨询费</t>
  </si>
  <si>
    <t>7.7.2</t>
  </si>
  <si>
    <t>工程量清单及组价编制咨询费</t>
  </si>
  <si>
    <t>7.7.3</t>
  </si>
  <si>
    <t>工程量清单及组价审核咨询费</t>
  </si>
  <si>
    <t>7.7.4</t>
  </si>
  <si>
    <t>工程量清单施工阶段工程造价全过程控制</t>
  </si>
  <si>
    <t>工程决算审核费</t>
  </si>
  <si>
    <t>按[2011]257号文下浮20%计取</t>
  </si>
  <si>
    <t>工程保险费</t>
  </si>
  <si>
    <t>根据《重庆市建筑安装工程设计概算编制办法》（CQGSBF-JA—2021），工程费用×0.3%</t>
  </si>
  <si>
    <t>安全生产保障费</t>
  </si>
  <si>
    <t>根据《重庆市建筑安装工程设计概算编制办法》（CQGSBF-JA—2021），工程费用×0.5%</t>
  </si>
  <si>
    <t>城市基础设施配套建设费</t>
  </si>
  <si>
    <t>按渝府发〔2015〕53号文计取，教学用房免缴、后勤配套减半缴纳</t>
  </si>
  <si>
    <t>(二)</t>
  </si>
  <si>
    <t>与试运行及生产有关的其他费用</t>
  </si>
  <si>
    <t>水电气接入费</t>
  </si>
  <si>
    <t>根据联系函回复暂按20万元计算</t>
  </si>
  <si>
    <t>三</t>
  </si>
  <si>
    <t>预备费</t>
  </si>
  <si>
    <t>基本预备费</t>
  </si>
  <si>
    <t>根据《重庆市建筑安装工程设计概算编制办法》（CQGSBF-JA—2021），（一+二）×5%</t>
  </si>
  <si>
    <t>四</t>
  </si>
  <si>
    <t>建设项目总投资</t>
  </si>
  <si>
    <t>概算对比表</t>
  </si>
  <si>
    <t>送审概算造价</t>
  </si>
  <si>
    <t>审定概算造价</t>
  </si>
  <si>
    <t>审增、减金额</t>
  </si>
  <si>
    <t>执行文件</t>
  </si>
  <si>
    <t>2021概算编规计算说明</t>
  </si>
  <si>
    <t>详见概算书</t>
  </si>
  <si>
    <t>按渝价〔2013〕423号文下浮20%计取</t>
  </si>
  <si>
    <t>按计价格〔2002〕10号文计取，暂按钻孔430m计算*170元/m</t>
  </si>
  <si>
    <t>暂按合同约定430m计算*12元/m</t>
  </si>
  <si>
    <t>暂按合同约定430m计算*16元/m</t>
  </si>
  <si>
    <t>安全评价费</t>
  </si>
  <si>
    <t>暂估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</si>
</sst>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78" fontId="8" fillId="3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178" fontId="4" fillId="3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5" xfId="0" applyFont="1" applyBorder="1">
      <alignment vertical="center"/>
    </xf>
    <xf numFmtId="178" fontId="4" fillId="3" borderId="9" xfId="0" applyNumberFormat="1" applyFont="1" applyFill="1" applyBorder="1" applyAlignment="1">
      <alignment horizontal="center" vertical="center" wrapText="1"/>
    </xf>
    <xf numFmtId="178" fontId="4" fillId="3" borderId="10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178" fontId="8" fillId="3" borderId="5" xfId="0" applyNumberFormat="1" applyFont="1" applyFill="1" applyBorder="1" applyAlignment="1">
      <alignment horizontal="left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left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10" fontId="1" fillId="2" borderId="5" xfId="3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10" fontId="0" fillId="2" borderId="5" xfId="3" applyNumberFormat="1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1" fillId="0" borderId="5" xfId="0" applyFont="1" applyBorder="1" applyAlignment="1">
      <alignment horizontal="left" vertical="center" wrapText="1"/>
    </xf>
    <xf numFmtId="178" fontId="11" fillId="0" borderId="5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/>
    </xf>
    <xf numFmtId="178" fontId="4" fillId="0" borderId="5" xfId="0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left"/>
    </xf>
    <xf numFmtId="0" fontId="5" fillId="2" borderId="5" xfId="49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78" fontId="17" fillId="2" borderId="3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178" fontId="17" fillId="2" borderId="3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8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3" fillId="2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78" fontId="16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178" fontId="0" fillId="0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 wrapText="1"/>
    </xf>
    <xf numFmtId="178" fontId="17" fillId="0" borderId="3" xfId="0" applyNumberFormat="1" applyFont="1" applyFill="1" applyBorder="1" applyAlignment="1">
      <alignment horizontal="center" vertical="center"/>
    </xf>
    <xf numFmtId="178" fontId="17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178" fontId="17" fillId="2" borderId="1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3"/>
  <sheetViews>
    <sheetView view="pageBreakPreview" zoomScaleNormal="100" workbookViewId="0">
      <pane ySplit="4" topLeftCell="A31" activePane="bottomLeft" state="frozen"/>
      <selection/>
      <selection pane="bottomLeft" activeCell="A1" sqref="A1:L1"/>
    </sheetView>
  </sheetViews>
  <sheetFormatPr defaultColWidth="8.8" defaultRowHeight="13.5"/>
  <cols>
    <col min="1" max="1" width="8.8" style="66"/>
    <col min="2" max="2" width="27.25" style="67" customWidth="1"/>
    <col min="3" max="8" width="15" style="66" customWidth="1"/>
    <col min="9" max="9" width="17.5" style="66" customWidth="1"/>
    <col min="10" max="10" width="15" style="68" customWidth="1"/>
    <col min="11" max="11" width="15" style="66" customWidth="1"/>
    <col min="12" max="12" width="27.5" style="69" customWidth="1"/>
    <col min="13" max="13" width="24.75" style="70" customWidth="1"/>
  </cols>
  <sheetData>
    <row r="1" ht="33" customHeight="1" spans="1:12">
      <c r="A1" s="71" t="s">
        <v>0</v>
      </c>
      <c r="B1" s="72"/>
      <c r="C1" s="73"/>
      <c r="D1" s="73"/>
      <c r="E1" s="73"/>
      <c r="F1" s="73"/>
      <c r="G1" s="73"/>
      <c r="H1" s="73"/>
      <c r="I1" s="91"/>
      <c r="J1" s="92"/>
      <c r="K1" s="73"/>
      <c r="L1" s="93"/>
    </row>
    <row r="2" spans="1:12">
      <c r="A2" s="74" t="s">
        <v>1</v>
      </c>
      <c r="B2" s="75"/>
      <c r="C2" s="76"/>
      <c r="D2" s="76"/>
      <c r="E2" s="76"/>
      <c r="F2" s="76"/>
      <c r="G2" s="76"/>
      <c r="H2" s="76"/>
      <c r="I2" s="94"/>
      <c r="J2" s="76"/>
      <c r="K2" s="76"/>
      <c r="L2" s="95" t="s">
        <v>2</v>
      </c>
    </row>
    <row r="3" ht="21" customHeight="1" spans="1:12">
      <c r="A3" s="77" t="s">
        <v>3</v>
      </c>
      <c r="B3" s="78" t="s">
        <v>4</v>
      </c>
      <c r="C3" s="79" t="s">
        <v>5</v>
      </c>
      <c r="D3" s="79"/>
      <c r="E3" s="79"/>
      <c r="F3" s="79"/>
      <c r="G3" s="79"/>
      <c r="H3" s="79" t="s">
        <v>6</v>
      </c>
      <c r="I3" s="96"/>
      <c r="J3" s="79"/>
      <c r="K3" s="97" t="s">
        <v>7</v>
      </c>
      <c r="L3" s="98" t="s">
        <v>8</v>
      </c>
    </row>
    <row r="4" ht="27" spans="1:13">
      <c r="A4" s="80"/>
      <c r="B4" s="81"/>
      <c r="C4" s="82" t="s">
        <v>9</v>
      </c>
      <c r="D4" s="82" t="s">
        <v>10</v>
      </c>
      <c r="E4" s="82" t="s">
        <v>11</v>
      </c>
      <c r="F4" s="79" t="s">
        <v>12</v>
      </c>
      <c r="G4" s="79" t="s">
        <v>13</v>
      </c>
      <c r="H4" s="79" t="s">
        <v>14</v>
      </c>
      <c r="I4" s="99" t="s">
        <v>15</v>
      </c>
      <c r="J4" s="82" t="s">
        <v>16</v>
      </c>
      <c r="K4" s="100"/>
      <c r="L4" s="101"/>
      <c r="M4" s="102" t="s">
        <v>17</v>
      </c>
    </row>
    <row r="5" s="1" customFormat="1" ht="21" customHeight="1" spans="1:13">
      <c r="A5" s="17" t="s">
        <v>18</v>
      </c>
      <c r="B5" s="18" t="s">
        <v>19</v>
      </c>
      <c r="C5" s="19">
        <f>C6+C13+C19</f>
        <v>3734.34</v>
      </c>
      <c r="D5" s="19">
        <f>D6+D13</f>
        <v>984.84</v>
      </c>
      <c r="E5" s="19"/>
      <c r="F5" s="19"/>
      <c r="G5" s="19">
        <f t="shared" ref="G5:G10" si="0">ROUND(SUM(C5:F5),2)</f>
        <v>4719.18</v>
      </c>
      <c r="H5" s="83" t="s">
        <v>20</v>
      </c>
      <c r="I5" s="103">
        <f>I6+I13</f>
        <v>9715.14</v>
      </c>
      <c r="J5" s="83">
        <f>ROUND(G5/I5*10000,2)</f>
        <v>4857.55</v>
      </c>
      <c r="K5" s="104">
        <f t="shared" ref="K5:K12" si="1">ROUND(G5/$G$53,4)</f>
        <v>0.8827</v>
      </c>
      <c r="L5" s="105" t="s">
        <v>21</v>
      </c>
      <c r="M5" s="106"/>
    </row>
    <row r="6" s="1" customFormat="1" ht="23.25" customHeight="1" spans="1:13">
      <c r="A6" s="20" t="s">
        <v>22</v>
      </c>
      <c r="B6" s="21" t="s">
        <v>23</v>
      </c>
      <c r="C6" s="19">
        <f>C7</f>
        <v>1270.75</v>
      </c>
      <c r="D6" s="19">
        <f>SUM(D8:D12)</f>
        <v>225.73</v>
      </c>
      <c r="E6" s="19"/>
      <c r="F6" s="19"/>
      <c r="G6" s="19">
        <f t="shared" si="0"/>
        <v>1496.48</v>
      </c>
      <c r="H6" s="83" t="s">
        <v>20</v>
      </c>
      <c r="I6" s="107">
        <v>4591.96</v>
      </c>
      <c r="J6" s="83">
        <f t="shared" ref="J6:J53" si="2">ROUND(G6/I6*10000,2)</f>
        <v>3258.91</v>
      </c>
      <c r="K6" s="104">
        <f t="shared" si="1"/>
        <v>0.2799</v>
      </c>
      <c r="L6" s="108"/>
      <c r="M6" s="106"/>
    </row>
    <row r="7" s="2" customFormat="1" ht="23.25" customHeight="1" spans="1:13">
      <c r="A7" s="22" t="s">
        <v>24</v>
      </c>
      <c r="B7" s="23" t="s">
        <v>25</v>
      </c>
      <c r="C7" s="24">
        <v>1270.75</v>
      </c>
      <c r="D7" s="24"/>
      <c r="E7" s="24"/>
      <c r="F7" s="24"/>
      <c r="G7" s="24">
        <f t="shared" si="0"/>
        <v>1270.75</v>
      </c>
      <c r="H7" s="84" t="s">
        <v>20</v>
      </c>
      <c r="I7" s="109">
        <v>4591.96</v>
      </c>
      <c r="J7" s="110">
        <f t="shared" si="2"/>
        <v>2767.34</v>
      </c>
      <c r="K7" s="111">
        <f t="shared" si="1"/>
        <v>0.2377</v>
      </c>
      <c r="L7" s="112"/>
      <c r="M7" s="113"/>
    </row>
    <row r="8" s="2" customFormat="1" ht="23.25" customHeight="1" outlineLevel="1" spans="1:13">
      <c r="A8" s="22" t="s">
        <v>26</v>
      </c>
      <c r="B8" s="23" t="s">
        <v>27</v>
      </c>
      <c r="C8" s="24"/>
      <c r="D8" s="24">
        <v>129.47</v>
      </c>
      <c r="E8" s="24"/>
      <c r="F8" s="24"/>
      <c r="G8" s="24">
        <f t="shared" si="0"/>
        <v>129.47</v>
      </c>
      <c r="H8" s="84" t="s">
        <v>20</v>
      </c>
      <c r="I8" s="114">
        <f t="shared" ref="I8:I15" si="3">$I$6</f>
        <v>4591.96</v>
      </c>
      <c r="J8" s="110">
        <f t="shared" si="2"/>
        <v>281.95</v>
      </c>
      <c r="K8" s="111">
        <f t="shared" si="1"/>
        <v>0.0242</v>
      </c>
      <c r="L8" s="53"/>
      <c r="M8" s="113"/>
    </row>
    <row r="9" s="2" customFormat="1" ht="44.25" customHeight="1" outlineLevel="1" spans="1:13">
      <c r="A9" s="22" t="s">
        <v>28</v>
      </c>
      <c r="B9" s="23" t="s">
        <v>29</v>
      </c>
      <c r="C9" s="24"/>
      <c r="D9" s="24">
        <v>24.86</v>
      </c>
      <c r="E9" s="24"/>
      <c r="F9" s="24"/>
      <c r="G9" s="24">
        <f t="shared" si="0"/>
        <v>24.86</v>
      </c>
      <c r="H9" s="84" t="s">
        <v>20</v>
      </c>
      <c r="I9" s="115">
        <f t="shared" si="3"/>
        <v>4591.96</v>
      </c>
      <c r="J9" s="110">
        <f t="shared" si="2"/>
        <v>54.14</v>
      </c>
      <c r="K9" s="111">
        <f t="shared" si="1"/>
        <v>0.0046</v>
      </c>
      <c r="L9" s="116"/>
      <c r="M9" s="113"/>
    </row>
    <row r="10" s="2" customFormat="1" ht="23.25" customHeight="1" outlineLevel="1" spans="1:13">
      <c r="A10" s="22" t="s">
        <v>30</v>
      </c>
      <c r="B10" s="23" t="s">
        <v>31</v>
      </c>
      <c r="C10" s="24"/>
      <c r="D10" s="24">
        <v>4.39</v>
      </c>
      <c r="E10" s="24"/>
      <c r="F10" s="24"/>
      <c r="G10" s="24">
        <f t="shared" si="0"/>
        <v>4.39</v>
      </c>
      <c r="H10" s="85" t="s">
        <v>20</v>
      </c>
      <c r="I10" s="117">
        <f t="shared" si="3"/>
        <v>4591.96</v>
      </c>
      <c r="J10" s="110">
        <f t="shared" si="2"/>
        <v>9.56</v>
      </c>
      <c r="K10" s="111">
        <f t="shared" si="1"/>
        <v>0.0008</v>
      </c>
      <c r="L10" s="53"/>
      <c r="M10" s="113"/>
    </row>
    <row r="11" s="2" customFormat="1" ht="23.25" customHeight="1" outlineLevel="1" spans="1:13">
      <c r="A11" s="22" t="s">
        <v>32</v>
      </c>
      <c r="B11" s="23" t="s">
        <v>33</v>
      </c>
      <c r="C11" s="24"/>
      <c r="D11" s="24">
        <v>42.01</v>
      </c>
      <c r="E11" s="24"/>
      <c r="F11" s="24"/>
      <c r="G11" s="24">
        <f t="shared" ref="G11:G48" si="4">ROUND(SUM(C11:F11),2)</f>
        <v>42.01</v>
      </c>
      <c r="H11" s="85" t="s">
        <v>20</v>
      </c>
      <c r="I11" s="117">
        <f t="shared" si="3"/>
        <v>4591.96</v>
      </c>
      <c r="J11" s="110">
        <f t="shared" si="2"/>
        <v>91.49</v>
      </c>
      <c r="K11" s="111">
        <f t="shared" si="1"/>
        <v>0.0079</v>
      </c>
      <c r="L11" s="53"/>
      <c r="M11" s="113"/>
    </row>
    <row r="12" s="2" customFormat="1" ht="23.25" customHeight="1" outlineLevel="1" spans="1:13">
      <c r="A12" s="22" t="s">
        <v>34</v>
      </c>
      <c r="B12" s="23" t="s">
        <v>35</v>
      </c>
      <c r="C12" s="24"/>
      <c r="D12" s="24">
        <v>25</v>
      </c>
      <c r="E12" s="24"/>
      <c r="F12" s="24"/>
      <c r="G12" s="24">
        <f t="shared" si="4"/>
        <v>25</v>
      </c>
      <c r="H12" s="86" t="s">
        <v>20</v>
      </c>
      <c r="I12" s="117">
        <f t="shared" si="3"/>
        <v>4591.96</v>
      </c>
      <c r="J12" s="110">
        <f t="shared" si="2"/>
        <v>54.44</v>
      </c>
      <c r="K12" s="111">
        <f t="shared" si="1"/>
        <v>0.0047</v>
      </c>
      <c r="L12" s="53"/>
      <c r="M12" s="113"/>
    </row>
    <row r="13" s="1" customFormat="1" ht="23.25" customHeight="1" outlineLevel="1" spans="1:13">
      <c r="A13" s="20">
        <v>2</v>
      </c>
      <c r="B13" s="21" t="s">
        <v>36</v>
      </c>
      <c r="C13" s="19">
        <f>C14</f>
        <v>2161.32</v>
      </c>
      <c r="D13" s="19">
        <f>SUM(D15:D18)</f>
        <v>759.11</v>
      </c>
      <c r="E13" s="19"/>
      <c r="F13" s="19"/>
      <c r="G13" s="19">
        <f t="shared" si="4"/>
        <v>2920.43</v>
      </c>
      <c r="H13" s="87" t="s">
        <v>20</v>
      </c>
      <c r="I13" s="118">
        <v>5123.18</v>
      </c>
      <c r="J13" s="83">
        <f t="shared" si="2"/>
        <v>5700.42</v>
      </c>
      <c r="K13" s="104">
        <f t="shared" ref="K13:K18" si="5">ROUND(G13/$G$53,4)</f>
        <v>0.5462</v>
      </c>
      <c r="L13" s="108"/>
      <c r="M13" s="106"/>
    </row>
    <row r="14" s="2" customFormat="1" ht="23.25" customHeight="1" outlineLevel="1" spans="1:13">
      <c r="A14" s="22" t="s">
        <v>24</v>
      </c>
      <c r="B14" s="23" t="s">
        <v>25</v>
      </c>
      <c r="C14" s="24">
        <v>2161.32</v>
      </c>
      <c r="D14" s="24"/>
      <c r="E14" s="24"/>
      <c r="F14" s="24"/>
      <c r="G14" s="24">
        <f t="shared" si="4"/>
        <v>2161.32</v>
      </c>
      <c r="H14" s="85" t="s">
        <v>20</v>
      </c>
      <c r="I14" s="109">
        <v>5123.18</v>
      </c>
      <c r="J14" s="110">
        <f t="shared" si="2"/>
        <v>4218.71</v>
      </c>
      <c r="K14" s="111">
        <f t="shared" si="5"/>
        <v>0.4043</v>
      </c>
      <c r="L14" s="112"/>
      <c r="M14" s="113"/>
    </row>
    <row r="15" s="2" customFormat="1" ht="23.25" customHeight="1" outlineLevel="1" spans="1:13">
      <c r="A15" s="22" t="s">
        <v>26</v>
      </c>
      <c r="B15" s="23" t="s">
        <v>27</v>
      </c>
      <c r="C15" s="24"/>
      <c r="D15" s="24">
        <v>437.01</v>
      </c>
      <c r="E15" s="24"/>
      <c r="F15" s="24"/>
      <c r="G15" s="24">
        <f t="shared" si="4"/>
        <v>437.01</v>
      </c>
      <c r="H15" s="85" t="s">
        <v>20</v>
      </c>
      <c r="I15" s="109">
        <v>5123.18</v>
      </c>
      <c r="J15" s="110">
        <f t="shared" si="2"/>
        <v>853.01</v>
      </c>
      <c r="K15" s="111">
        <f t="shared" si="5"/>
        <v>0.0817</v>
      </c>
      <c r="L15" s="53"/>
      <c r="M15" s="113"/>
    </row>
    <row r="16" s="2" customFormat="1" ht="23.25" customHeight="1" outlineLevel="1" spans="1:13">
      <c r="A16" s="22" t="s">
        <v>28</v>
      </c>
      <c r="B16" s="23" t="s">
        <v>29</v>
      </c>
      <c r="C16" s="24"/>
      <c r="D16" s="24">
        <v>18.43</v>
      </c>
      <c r="E16" s="24"/>
      <c r="F16" s="24"/>
      <c r="G16" s="24">
        <f t="shared" si="4"/>
        <v>18.43</v>
      </c>
      <c r="H16" s="88" t="s">
        <v>20</v>
      </c>
      <c r="I16" s="109">
        <v>5123.18</v>
      </c>
      <c r="J16" s="110">
        <f t="shared" si="2"/>
        <v>35.97</v>
      </c>
      <c r="K16" s="111">
        <f t="shared" si="5"/>
        <v>0.0034</v>
      </c>
      <c r="L16" s="112"/>
      <c r="M16" s="113"/>
    </row>
    <row r="17" s="2" customFormat="1" ht="23.25" customHeight="1" spans="1:13">
      <c r="A17" s="22" t="s">
        <v>30</v>
      </c>
      <c r="B17" s="23" t="s">
        <v>31</v>
      </c>
      <c r="C17" s="24"/>
      <c r="D17" s="24">
        <v>281.66</v>
      </c>
      <c r="E17" s="24"/>
      <c r="F17" s="24"/>
      <c r="G17" s="24">
        <f t="shared" si="4"/>
        <v>281.66</v>
      </c>
      <c r="H17" s="85" t="s">
        <v>20</v>
      </c>
      <c r="I17" s="109">
        <v>5123.18</v>
      </c>
      <c r="J17" s="110">
        <f t="shared" si="2"/>
        <v>549.78</v>
      </c>
      <c r="K17" s="111">
        <f t="shared" si="5"/>
        <v>0.0527</v>
      </c>
      <c r="L17" s="112"/>
      <c r="M17" s="113"/>
    </row>
    <row r="18" s="2" customFormat="1" ht="23.25" customHeight="1" spans="1:13">
      <c r="A18" s="22" t="s">
        <v>32</v>
      </c>
      <c r="B18" s="23" t="s">
        <v>33</v>
      </c>
      <c r="C18" s="24"/>
      <c r="D18" s="24">
        <v>22.01</v>
      </c>
      <c r="E18" s="24"/>
      <c r="F18" s="24"/>
      <c r="G18" s="24">
        <f t="shared" si="4"/>
        <v>22.01</v>
      </c>
      <c r="H18" s="85" t="s">
        <v>20</v>
      </c>
      <c r="I18" s="119">
        <v>5123.18</v>
      </c>
      <c r="J18" s="110">
        <f t="shared" si="2"/>
        <v>42.96</v>
      </c>
      <c r="K18" s="111">
        <f t="shared" si="5"/>
        <v>0.0041</v>
      </c>
      <c r="L18" s="53"/>
      <c r="M18" s="113"/>
    </row>
    <row r="19" s="1" customFormat="1" ht="23.25" customHeight="1" outlineLevel="1" spans="1:13">
      <c r="A19" s="20">
        <v>3</v>
      </c>
      <c r="B19" s="21" t="s">
        <v>37</v>
      </c>
      <c r="C19" s="19">
        <f>C20+C21</f>
        <v>302.27</v>
      </c>
      <c r="D19" s="19"/>
      <c r="E19" s="19"/>
      <c r="F19" s="19"/>
      <c r="G19" s="19">
        <f t="shared" si="4"/>
        <v>302.27</v>
      </c>
      <c r="H19" s="89" t="s">
        <v>20</v>
      </c>
      <c r="I19" s="120">
        <v>1000</v>
      </c>
      <c r="J19" s="83">
        <f t="shared" si="2"/>
        <v>3022.7</v>
      </c>
      <c r="K19" s="104">
        <f t="shared" ref="K19:K48" si="6">ROUND(G19/$G$53,4)</f>
        <v>0.0565</v>
      </c>
      <c r="L19" s="121"/>
      <c r="M19" s="106"/>
    </row>
    <row r="20" s="2" customFormat="1" ht="23.25" customHeight="1" outlineLevel="1" spans="1:13">
      <c r="A20" s="22" t="s">
        <v>24</v>
      </c>
      <c r="B20" s="23" t="s">
        <v>38</v>
      </c>
      <c r="C20" s="24">
        <v>251.75</v>
      </c>
      <c r="D20" s="24"/>
      <c r="E20" s="24"/>
      <c r="F20" s="24"/>
      <c r="G20" s="24">
        <f t="shared" si="4"/>
        <v>251.75</v>
      </c>
      <c r="H20" s="85" t="s">
        <v>20</v>
      </c>
      <c r="I20" s="117">
        <v>1000</v>
      </c>
      <c r="J20" s="110">
        <f t="shared" si="2"/>
        <v>2517.5</v>
      </c>
      <c r="K20" s="111">
        <f t="shared" si="6"/>
        <v>0.0471</v>
      </c>
      <c r="L20" s="53" t="s">
        <v>39</v>
      </c>
      <c r="M20" s="113"/>
    </row>
    <row r="21" s="2" customFormat="1" ht="23.25" customHeight="1" outlineLevel="1" spans="1:13">
      <c r="A21" s="22" t="s">
        <v>26</v>
      </c>
      <c r="B21" s="23" t="s">
        <v>40</v>
      </c>
      <c r="C21" s="24">
        <v>50.52</v>
      </c>
      <c r="D21" s="24"/>
      <c r="E21" s="24"/>
      <c r="F21" s="24"/>
      <c r="G21" s="24">
        <f t="shared" si="4"/>
        <v>50.52</v>
      </c>
      <c r="H21" s="85" t="s">
        <v>20</v>
      </c>
      <c r="I21" s="117">
        <v>1000</v>
      </c>
      <c r="J21" s="110">
        <f t="shared" si="2"/>
        <v>505.2</v>
      </c>
      <c r="K21" s="111">
        <f t="shared" si="6"/>
        <v>0.0094</v>
      </c>
      <c r="L21" s="53" t="s">
        <v>41</v>
      </c>
      <c r="M21" s="113"/>
    </row>
    <row r="22" s="1" customFormat="1" ht="23.25" customHeight="1" outlineLevel="1" spans="1:13">
      <c r="A22" s="31" t="s">
        <v>42</v>
      </c>
      <c r="B22" s="18" t="s">
        <v>43</v>
      </c>
      <c r="C22" s="19"/>
      <c r="D22" s="19"/>
      <c r="E22" s="19"/>
      <c r="F22" s="19">
        <f>F23+F49</f>
        <v>372.56</v>
      </c>
      <c r="G22" s="19">
        <f t="shared" si="4"/>
        <v>372.56</v>
      </c>
      <c r="H22" s="87" t="s">
        <v>20</v>
      </c>
      <c r="I22" s="120">
        <f>I5</f>
        <v>9715.14</v>
      </c>
      <c r="J22" s="83">
        <f t="shared" si="2"/>
        <v>383.48</v>
      </c>
      <c r="K22" s="104">
        <f t="shared" si="6"/>
        <v>0.0697</v>
      </c>
      <c r="L22" s="108"/>
      <c r="M22" s="106"/>
    </row>
    <row r="23" s="1" customFormat="1" ht="23.25" customHeight="1" outlineLevel="1" spans="1:13">
      <c r="A23" s="31" t="s">
        <v>44</v>
      </c>
      <c r="B23" s="32" t="s">
        <v>45</v>
      </c>
      <c r="C23" s="19"/>
      <c r="D23" s="19"/>
      <c r="E23" s="19"/>
      <c r="F23" s="19">
        <f>F24+F25+F26+F27+F28+F29+F33+F46+F47+F48</f>
        <v>352.56</v>
      </c>
      <c r="G23" s="19">
        <f t="shared" si="4"/>
        <v>352.56</v>
      </c>
      <c r="H23" s="87" t="s">
        <v>20</v>
      </c>
      <c r="I23" s="120">
        <f>I22</f>
        <v>9715.14</v>
      </c>
      <c r="J23" s="83">
        <f t="shared" si="2"/>
        <v>362.9</v>
      </c>
      <c r="K23" s="104">
        <f t="shared" si="6"/>
        <v>0.0659</v>
      </c>
      <c r="L23" s="108"/>
      <c r="M23" s="106"/>
    </row>
    <row r="24" s="2" customFormat="1" ht="39" customHeight="1" outlineLevel="1" spans="1:13">
      <c r="A24" s="33">
        <v>1</v>
      </c>
      <c r="B24" s="34" t="s">
        <v>46</v>
      </c>
      <c r="C24" s="24"/>
      <c r="D24" s="24"/>
      <c r="E24" s="24"/>
      <c r="F24" s="24">
        <f>ROUND(G5*0.5%,2)</f>
        <v>23.6</v>
      </c>
      <c r="G24" s="24">
        <f t="shared" si="4"/>
        <v>23.6</v>
      </c>
      <c r="H24" s="85" t="s">
        <v>20</v>
      </c>
      <c r="I24" s="117">
        <f>I23</f>
        <v>9715.14</v>
      </c>
      <c r="J24" s="110">
        <f t="shared" si="2"/>
        <v>24.29</v>
      </c>
      <c r="K24" s="111">
        <f t="shared" si="6"/>
        <v>0.0044</v>
      </c>
      <c r="L24" s="56" t="s">
        <v>47</v>
      </c>
      <c r="M24" s="113"/>
    </row>
    <row r="25" s="2" customFormat="1" ht="44" customHeight="1" outlineLevel="1" spans="1:13">
      <c r="A25" s="33">
        <v>2</v>
      </c>
      <c r="B25" s="34" t="s">
        <v>48</v>
      </c>
      <c r="C25" s="24"/>
      <c r="D25" s="24"/>
      <c r="E25" s="24"/>
      <c r="F25" s="24">
        <f>ROUND(20+(G5-1000)*1.5%,2)*0.8</f>
        <v>60.63</v>
      </c>
      <c r="G25" s="24">
        <f t="shared" si="4"/>
        <v>60.63</v>
      </c>
      <c r="H25" s="85" t="s">
        <v>20</v>
      </c>
      <c r="I25" s="117">
        <f t="shared" ref="I25:I53" si="7">I24</f>
        <v>9715.14</v>
      </c>
      <c r="J25" s="110">
        <f t="shared" si="2"/>
        <v>62.41</v>
      </c>
      <c r="K25" s="111">
        <f t="shared" si="6"/>
        <v>0.0113</v>
      </c>
      <c r="L25" s="56" t="s">
        <v>49</v>
      </c>
      <c r="M25" s="113"/>
    </row>
    <row r="26" s="2" customFormat="1" ht="44" customHeight="1" outlineLevel="1" spans="1:13">
      <c r="A26" s="33">
        <v>3</v>
      </c>
      <c r="B26" s="34" t="s">
        <v>50</v>
      </c>
      <c r="C26" s="24"/>
      <c r="D26" s="24"/>
      <c r="E26" s="24"/>
      <c r="F26" s="24">
        <f>ROUND(55+(78.1-55)/2000*(G5-3000),2)*0.8</f>
        <v>59.89</v>
      </c>
      <c r="G26" s="24">
        <f t="shared" si="4"/>
        <v>59.89</v>
      </c>
      <c r="H26" s="88" t="s">
        <v>20</v>
      </c>
      <c r="I26" s="117">
        <f t="shared" si="7"/>
        <v>9715.14</v>
      </c>
      <c r="J26" s="110">
        <f t="shared" si="2"/>
        <v>61.65</v>
      </c>
      <c r="K26" s="111">
        <f t="shared" si="6"/>
        <v>0.0112</v>
      </c>
      <c r="L26" s="56" t="s">
        <v>49</v>
      </c>
      <c r="M26" s="113"/>
    </row>
    <row r="27" s="2" customFormat="1" ht="38" customHeight="1" outlineLevel="1" spans="1:13">
      <c r="A27" s="33">
        <v>4</v>
      </c>
      <c r="B27" s="34" t="s">
        <v>51</v>
      </c>
      <c r="C27" s="24"/>
      <c r="D27" s="24"/>
      <c r="E27" s="24"/>
      <c r="F27" s="24">
        <f>ROUND(G5*(0.245%+0.35%)/2,2)*0.8</f>
        <v>11.23</v>
      </c>
      <c r="G27" s="24">
        <f t="shared" si="4"/>
        <v>11.23</v>
      </c>
      <c r="H27" s="88" t="s">
        <v>20</v>
      </c>
      <c r="I27" s="117">
        <f t="shared" si="7"/>
        <v>9715.14</v>
      </c>
      <c r="J27" s="110">
        <f t="shared" si="2"/>
        <v>11.56</v>
      </c>
      <c r="K27" s="111">
        <f t="shared" si="6"/>
        <v>0.0021</v>
      </c>
      <c r="L27" s="56" t="s">
        <v>49</v>
      </c>
      <c r="M27" s="113"/>
    </row>
    <row r="28" s="2" customFormat="1" ht="23.25" customHeight="1" spans="1:13">
      <c r="A28" s="35">
        <v>5</v>
      </c>
      <c r="B28" s="34" t="s">
        <v>52</v>
      </c>
      <c r="C28" s="24"/>
      <c r="D28" s="24"/>
      <c r="E28" s="24"/>
      <c r="F28" s="24">
        <v>0</v>
      </c>
      <c r="G28" s="24">
        <f t="shared" si="4"/>
        <v>0</v>
      </c>
      <c r="H28" s="88" t="s">
        <v>20</v>
      </c>
      <c r="I28" s="117">
        <f t="shared" si="7"/>
        <v>9715.14</v>
      </c>
      <c r="J28" s="110">
        <f t="shared" si="2"/>
        <v>0</v>
      </c>
      <c r="K28" s="111">
        <f t="shared" si="6"/>
        <v>0</v>
      </c>
      <c r="L28" s="53" t="s">
        <v>53</v>
      </c>
      <c r="M28" s="113"/>
    </row>
    <row r="29" s="2" customFormat="1" ht="23.25" customHeight="1" outlineLevel="1" spans="1:13">
      <c r="A29" s="33">
        <v>6</v>
      </c>
      <c r="B29" s="34" t="s">
        <v>54</v>
      </c>
      <c r="C29" s="24"/>
      <c r="D29" s="24"/>
      <c r="E29" s="24"/>
      <c r="F29" s="24">
        <f>F30+F31+F32</f>
        <v>11.32</v>
      </c>
      <c r="G29" s="24">
        <f t="shared" si="4"/>
        <v>11.32</v>
      </c>
      <c r="H29" s="88" t="s">
        <v>20</v>
      </c>
      <c r="I29" s="117">
        <f t="shared" si="7"/>
        <v>9715.14</v>
      </c>
      <c r="J29" s="110">
        <f t="shared" si="2"/>
        <v>11.65</v>
      </c>
      <c r="K29" s="111">
        <f t="shared" si="6"/>
        <v>0.0021</v>
      </c>
      <c r="L29" s="53"/>
      <c r="M29" s="113"/>
    </row>
    <row r="30" s="2" customFormat="1" ht="42" customHeight="1" outlineLevel="1" spans="1:13">
      <c r="A30" s="33">
        <v>6.1</v>
      </c>
      <c r="B30" s="34" t="s">
        <v>55</v>
      </c>
      <c r="C30" s="24"/>
      <c r="D30" s="24"/>
      <c r="E30" s="24"/>
      <c r="F30" s="24">
        <f>ROUND(12+(28-12)/7000*(G5-3000),2)*0.6</f>
        <v>9.56</v>
      </c>
      <c r="G30" s="24">
        <f t="shared" si="4"/>
        <v>9.56</v>
      </c>
      <c r="H30" s="88" t="s">
        <v>20</v>
      </c>
      <c r="I30" s="117">
        <f t="shared" si="7"/>
        <v>9715.14</v>
      </c>
      <c r="J30" s="110">
        <f t="shared" si="2"/>
        <v>9.84</v>
      </c>
      <c r="K30" s="111">
        <f t="shared" si="6"/>
        <v>0.0018</v>
      </c>
      <c r="L30" s="56" t="s">
        <v>56</v>
      </c>
      <c r="M30" s="113"/>
    </row>
    <row r="31" s="2" customFormat="1" ht="23.25" customHeight="1" outlineLevel="1" spans="1:13">
      <c r="A31" s="33">
        <v>6.2</v>
      </c>
      <c r="B31" s="34" t="s">
        <v>57</v>
      </c>
      <c r="C31" s="24"/>
      <c r="D31" s="24"/>
      <c r="E31" s="24"/>
      <c r="F31" s="24">
        <v>0</v>
      </c>
      <c r="G31" s="24">
        <f t="shared" si="4"/>
        <v>0</v>
      </c>
      <c r="H31" s="88" t="s">
        <v>20</v>
      </c>
      <c r="I31" s="117">
        <f t="shared" si="7"/>
        <v>9715.14</v>
      </c>
      <c r="J31" s="110">
        <f t="shared" si="2"/>
        <v>0</v>
      </c>
      <c r="K31" s="111">
        <f t="shared" si="6"/>
        <v>0</v>
      </c>
      <c r="L31" s="57" t="s">
        <v>53</v>
      </c>
      <c r="M31" s="113"/>
    </row>
    <row r="32" s="2" customFormat="1" ht="23.25" customHeight="1" outlineLevel="1" spans="1:13">
      <c r="A32" s="33">
        <v>6.3</v>
      </c>
      <c r="B32" s="34" t="s">
        <v>58</v>
      </c>
      <c r="C32" s="24"/>
      <c r="D32" s="24"/>
      <c r="E32" s="24"/>
      <c r="F32" s="24">
        <f>ROUND(2+(4-2)/17000*(G5-3000),2)*0.8</f>
        <v>1.76</v>
      </c>
      <c r="G32" s="24">
        <f t="shared" si="4"/>
        <v>1.76</v>
      </c>
      <c r="H32" s="88" t="s">
        <v>20</v>
      </c>
      <c r="I32" s="117">
        <f t="shared" si="7"/>
        <v>9715.14</v>
      </c>
      <c r="J32" s="110">
        <f t="shared" si="2"/>
        <v>1.81</v>
      </c>
      <c r="K32" s="111">
        <f t="shared" si="6"/>
        <v>0.0003</v>
      </c>
      <c r="L32" s="58" t="s">
        <v>59</v>
      </c>
      <c r="M32" s="113"/>
    </row>
    <row r="33" s="2" customFormat="1" ht="23.25" customHeight="1" outlineLevel="1" spans="1:13">
      <c r="A33" s="33">
        <v>7</v>
      </c>
      <c r="B33" s="34" t="s">
        <v>60</v>
      </c>
      <c r="C33" s="24"/>
      <c r="D33" s="24"/>
      <c r="E33" s="24"/>
      <c r="F33" s="24">
        <f>F34+F35+F36+F37+F38+F39+F40+F45</f>
        <v>139.63</v>
      </c>
      <c r="G33" s="24">
        <f t="shared" si="4"/>
        <v>139.63</v>
      </c>
      <c r="H33" s="85" t="s">
        <v>20</v>
      </c>
      <c r="I33" s="117">
        <f t="shared" si="7"/>
        <v>9715.14</v>
      </c>
      <c r="J33" s="110">
        <f t="shared" si="2"/>
        <v>143.72</v>
      </c>
      <c r="K33" s="111">
        <f t="shared" si="6"/>
        <v>0.0261</v>
      </c>
      <c r="L33" s="53"/>
      <c r="M33" s="113"/>
    </row>
    <row r="34" s="2" customFormat="1" ht="23.25" customHeight="1" outlineLevel="1" spans="1:13">
      <c r="A34" s="33">
        <v>7.1</v>
      </c>
      <c r="B34" s="34" t="s">
        <v>61</v>
      </c>
      <c r="C34" s="24"/>
      <c r="D34" s="24"/>
      <c r="E34" s="24"/>
      <c r="F34" s="24">
        <v>0.5</v>
      </c>
      <c r="G34" s="24">
        <f t="shared" si="4"/>
        <v>0.5</v>
      </c>
      <c r="H34" s="85" t="s">
        <v>20</v>
      </c>
      <c r="I34" s="117">
        <f t="shared" si="7"/>
        <v>9715.14</v>
      </c>
      <c r="J34" s="110">
        <f t="shared" si="2"/>
        <v>0.51</v>
      </c>
      <c r="K34" s="111">
        <f t="shared" si="6"/>
        <v>0.0001</v>
      </c>
      <c r="L34" s="59" t="s">
        <v>62</v>
      </c>
      <c r="M34" s="113"/>
    </row>
    <row r="35" s="2" customFormat="1" ht="23.25" customHeight="1" outlineLevel="1" spans="1:13">
      <c r="A35" s="33">
        <v>7.2</v>
      </c>
      <c r="B35" s="36" t="s">
        <v>63</v>
      </c>
      <c r="C35" s="24"/>
      <c r="D35" s="24"/>
      <c r="E35" s="24"/>
      <c r="F35" s="24">
        <v>68</v>
      </c>
      <c r="G35" s="24">
        <f t="shared" si="4"/>
        <v>68</v>
      </c>
      <c r="H35" s="88" t="s">
        <v>20</v>
      </c>
      <c r="I35" s="117">
        <f t="shared" si="7"/>
        <v>9715.14</v>
      </c>
      <c r="J35" s="110">
        <f t="shared" si="2"/>
        <v>69.99</v>
      </c>
      <c r="K35" s="111">
        <f t="shared" si="6"/>
        <v>0.0127</v>
      </c>
      <c r="L35" s="59" t="s">
        <v>64</v>
      </c>
      <c r="M35" s="113"/>
    </row>
    <row r="36" s="2" customFormat="1" ht="33" customHeight="1" outlineLevel="1" spans="1:13">
      <c r="A36" s="33">
        <v>7.3</v>
      </c>
      <c r="B36" s="34" t="s">
        <v>65</v>
      </c>
      <c r="C36" s="24"/>
      <c r="D36" s="24"/>
      <c r="E36" s="24"/>
      <c r="F36" s="24">
        <v>3.51</v>
      </c>
      <c r="G36" s="24">
        <f t="shared" si="4"/>
        <v>3.51</v>
      </c>
      <c r="H36" s="88" t="s">
        <v>20</v>
      </c>
      <c r="I36" s="117">
        <f t="shared" si="7"/>
        <v>9715.14</v>
      </c>
      <c r="J36" s="110">
        <f t="shared" si="2"/>
        <v>3.61</v>
      </c>
      <c r="K36" s="111">
        <f t="shared" si="6"/>
        <v>0.0007</v>
      </c>
      <c r="L36" s="61" t="s">
        <v>66</v>
      </c>
      <c r="M36" s="113"/>
    </row>
    <row r="37" s="2" customFormat="1" ht="23.25" customHeight="1" outlineLevel="1" spans="1:13">
      <c r="A37" s="33">
        <v>7.4</v>
      </c>
      <c r="B37" s="34" t="s">
        <v>67</v>
      </c>
      <c r="C37" s="24"/>
      <c r="D37" s="24"/>
      <c r="E37" s="24"/>
      <c r="F37" s="24">
        <v>4.81</v>
      </c>
      <c r="G37" s="24">
        <f t="shared" si="4"/>
        <v>4.81</v>
      </c>
      <c r="H37" s="88" t="s">
        <v>20</v>
      </c>
      <c r="I37" s="117">
        <f t="shared" si="7"/>
        <v>9715.14</v>
      </c>
      <c r="J37" s="110">
        <f t="shared" si="2"/>
        <v>4.95</v>
      </c>
      <c r="K37" s="111">
        <f t="shared" si="6"/>
        <v>0.0009</v>
      </c>
      <c r="L37" s="61" t="s">
        <v>66</v>
      </c>
      <c r="M37" s="113"/>
    </row>
    <row r="38" s="2" customFormat="1" ht="23.25" customHeight="1" outlineLevel="1" spans="1:13">
      <c r="A38" s="33">
        <v>7.5</v>
      </c>
      <c r="B38" s="34" t="s">
        <v>68</v>
      </c>
      <c r="C38" s="24"/>
      <c r="D38" s="24"/>
      <c r="E38" s="24"/>
      <c r="F38" s="24">
        <f>430*12/10000</f>
        <v>0.52</v>
      </c>
      <c r="G38" s="24">
        <f t="shared" si="4"/>
        <v>0.52</v>
      </c>
      <c r="H38" s="88" t="s">
        <v>20</v>
      </c>
      <c r="I38" s="117">
        <f t="shared" si="7"/>
        <v>9715.14</v>
      </c>
      <c r="J38" s="110">
        <f t="shared" si="2"/>
        <v>0.54</v>
      </c>
      <c r="K38" s="111">
        <f t="shared" si="6"/>
        <v>0.0001</v>
      </c>
      <c r="L38" s="61" t="s">
        <v>66</v>
      </c>
      <c r="M38" s="113"/>
    </row>
    <row r="39" s="2" customFormat="1" ht="23.25" customHeight="1" outlineLevel="1" spans="1:13">
      <c r="A39" s="33">
        <v>7.6</v>
      </c>
      <c r="B39" s="34" t="s">
        <v>69</v>
      </c>
      <c r="C39" s="24"/>
      <c r="D39" s="24"/>
      <c r="E39" s="24"/>
      <c r="F39" s="24">
        <f>430*16/10000</f>
        <v>0.69</v>
      </c>
      <c r="G39" s="24">
        <f t="shared" si="4"/>
        <v>0.69</v>
      </c>
      <c r="H39" s="88" t="s">
        <v>20</v>
      </c>
      <c r="I39" s="117">
        <f t="shared" si="7"/>
        <v>9715.14</v>
      </c>
      <c r="J39" s="110">
        <f t="shared" si="2"/>
        <v>0.71</v>
      </c>
      <c r="K39" s="111">
        <f t="shared" si="6"/>
        <v>0.0001</v>
      </c>
      <c r="L39" s="61" t="s">
        <v>66</v>
      </c>
      <c r="M39" s="113"/>
    </row>
    <row r="40" s="2" customFormat="1" ht="37" customHeight="1" spans="1:13">
      <c r="A40" s="33">
        <v>7.7</v>
      </c>
      <c r="B40" s="34" t="s">
        <v>70</v>
      </c>
      <c r="C40" s="24"/>
      <c r="D40" s="24"/>
      <c r="E40" s="24"/>
      <c r="F40" s="24">
        <f>F41+F42+F43+F44</f>
        <v>55.1</v>
      </c>
      <c r="G40" s="24">
        <f t="shared" si="4"/>
        <v>55.1</v>
      </c>
      <c r="H40" s="88" t="s">
        <v>20</v>
      </c>
      <c r="I40" s="117">
        <f t="shared" si="7"/>
        <v>9715.14</v>
      </c>
      <c r="J40" s="110">
        <f t="shared" si="2"/>
        <v>56.72</v>
      </c>
      <c r="K40" s="111">
        <f t="shared" si="6"/>
        <v>0.0103</v>
      </c>
      <c r="L40" s="56" t="s">
        <v>71</v>
      </c>
      <c r="M40" s="113"/>
    </row>
    <row r="41" s="2" customFormat="1" ht="23.25" customHeight="1" spans="1:13">
      <c r="A41" s="33" t="s">
        <v>72</v>
      </c>
      <c r="B41" s="34" t="s">
        <v>73</v>
      </c>
      <c r="C41" s="24"/>
      <c r="D41" s="24"/>
      <c r="E41" s="24"/>
      <c r="F41" s="24">
        <f>ROUND((500*0.13%+500*0.12%+(G5-1000)*0.1%),2)*0.8</f>
        <v>3.98</v>
      </c>
      <c r="G41" s="24">
        <f t="shared" si="4"/>
        <v>3.98</v>
      </c>
      <c r="H41" s="88" t="s">
        <v>20</v>
      </c>
      <c r="I41" s="117">
        <f t="shared" si="7"/>
        <v>9715.14</v>
      </c>
      <c r="J41" s="110">
        <f t="shared" si="2"/>
        <v>4.1</v>
      </c>
      <c r="K41" s="111">
        <f t="shared" si="6"/>
        <v>0.0007</v>
      </c>
      <c r="L41" s="53"/>
      <c r="M41" s="113"/>
    </row>
    <row r="42" s="2" customFormat="1" ht="23.25" customHeight="1" outlineLevel="1" spans="1:13">
      <c r="A42" s="33" t="s">
        <v>74</v>
      </c>
      <c r="B42" s="34" t="s">
        <v>75</v>
      </c>
      <c r="C42" s="24"/>
      <c r="D42" s="24"/>
      <c r="E42" s="24"/>
      <c r="F42" s="24">
        <f>ROUND((500*0.35%+500*0.32%+(G5-1000)*0.24%),2)*0.8</f>
        <v>9.82</v>
      </c>
      <c r="G42" s="24">
        <f t="shared" si="4"/>
        <v>9.82</v>
      </c>
      <c r="H42" s="88" t="s">
        <v>20</v>
      </c>
      <c r="I42" s="117">
        <f t="shared" si="7"/>
        <v>9715.14</v>
      </c>
      <c r="J42" s="110">
        <f t="shared" si="2"/>
        <v>10.11</v>
      </c>
      <c r="K42" s="111">
        <f t="shared" si="6"/>
        <v>0.0018</v>
      </c>
      <c r="L42" s="53"/>
      <c r="M42" s="113"/>
    </row>
    <row r="43" s="2" customFormat="1" ht="23.25" customHeight="1" outlineLevel="1" spans="1:13">
      <c r="A43" s="33" t="s">
        <v>76</v>
      </c>
      <c r="B43" s="34" t="s">
        <v>77</v>
      </c>
      <c r="C43" s="24"/>
      <c r="D43" s="24"/>
      <c r="E43" s="24"/>
      <c r="F43" s="24">
        <f>ROUND((500*0.35%+500*0.32%+(G5-1000)*0.24%),2)*0.8</f>
        <v>9.82</v>
      </c>
      <c r="G43" s="24">
        <f t="shared" si="4"/>
        <v>9.82</v>
      </c>
      <c r="H43" s="88" t="s">
        <v>20</v>
      </c>
      <c r="I43" s="117">
        <f t="shared" si="7"/>
        <v>9715.14</v>
      </c>
      <c r="J43" s="110">
        <f t="shared" si="2"/>
        <v>10.11</v>
      </c>
      <c r="K43" s="111">
        <f t="shared" si="6"/>
        <v>0.0018</v>
      </c>
      <c r="L43" s="112"/>
      <c r="M43" s="113"/>
    </row>
    <row r="44" s="2" customFormat="1" ht="37" customHeight="1" outlineLevel="1" spans="1:13">
      <c r="A44" s="33" t="s">
        <v>78</v>
      </c>
      <c r="B44" s="34" t="s">
        <v>79</v>
      </c>
      <c r="C44" s="24"/>
      <c r="D44" s="24"/>
      <c r="E44" s="24"/>
      <c r="F44" s="24">
        <f>ROUND((500*1.04%+500*0.88%+(G5-1000)*0.8%),2)*0.8</f>
        <v>31.48</v>
      </c>
      <c r="G44" s="24">
        <f t="shared" si="4"/>
        <v>31.48</v>
      </c>
      <c r="H44" s="88" t="s">
        <v>20</v>
      </c>
      <c r="I44" s="117">
        <f t="shared" si="7"/>
        <v>9715.14</v>
      </c>
      <c r="J44" s="110">
        <f t="shared" si="2"/>
        <v>32.4</v>
      </c>
      <c r="K44" s="111">
        <f t="shared" si="6"/>
        <v>0.0059</v>
      </c>
      <c r="L44" s="53"/>
      <c r="M44" s="113"/>
    </row>
    <row r="45" s="2" customFormat="1" ht="23.25" customHeight="1" outlineLevel="1" spans="1:13">
      <c r="A45" s="33">
        <v>7.8</v>
      </c>
      <c r="B45" s="34" t="s">
        <v>80</v>
      </c>
      <c r="C45" s="24"/>
      <c r="D45" s="24"/>
      <c r="E45" s="24"/>
      <c r="F45" s="24">
        <f>ROUND((0.3+900*0.25%+(G5-1000)*0.15%),2)*0.8</f>
        <v>6.5</v>
      </c>
      <c r="G45" s="24">
        <f t="shared" si="4"/>
        <v>6.5</v>
      </c>
      <c r="H45" s="88" t="s">
        <v>20</v>
      </c>
      <c r="I45" s="117">
        <f t="shared" si="7"/>
        <v>9715.14</v>
      </c>
      <c r="J45" s="110">
        <f t="shared" si="2"/>
        <v>6.69</v>
      </c>
      <c r="K45" s="111">
        <f t="shared" si="6"/>
        <v>0.0012</v>
      </c>
      <c r="L45" s="56" t="s">
        <v>81</v>
      </c>
      <c r="M45" s="113"/>
    </row>
    <row r="46" s="2" customFormat="1" ht="45" customHeight="1" outlineLevel="1" spans="1:13">
      <c r="A46" s="33">
        <v>8</v>
      </c>
      <c r="B46" s="34" t="s">
        <v>82</v>
      </c>
      <c r="C46" s="24"/>
      <c r="D46" s="24"/>
      <c r="E46" s="24"/>
      <c r="F46" s="24">
        <f>ROUND(G5*0.3%,2)</f>
        <v>14.16</v>
      </c>
      <c r="G46" s="24">
        <f t="shared" si="4"/>
        <v>14.16</v>
      </c>
      <c r="H46" s="88" t="s">
        <v>20</v>
      </c>
      <c r="I46" s="117">
        <f t="shared" si="7"/>
        <v>9715.14</v>
      </c>
      <c r="J46" s="110">
        <f t="shared" si="2"/>
        <v>14.58</v>
      </c>
      <c r="K46" s="111">
        <f t="shared" si="6"/>
        <v>0.0026</v>
      </c>
      <c r="L46" s="56" t="s">
        <v>83</v>
      </c>
      <c r="M46" s="113"/>
    </row>
    <row r="47" s="2" customFormat="1" ht="45" customHeight="1" outlineLevel="1" spans="1:13">
      <c r="A47" s="33">
        <v>9</v>
      </c>
      <c r="B47" s="34" t="s">
        <v>84</v>
      </c>
      <c r="C47" s="24"/>
      <c r="D47" s="24"/>
      <c r="E47" s="24"/>
      <c r="F47" s="24">
        <f>ROUND(G5*0.5%,2)</f>
        <v>23.6</v>
      </c>
      <c r="G47" s="24">
        <f t="shared" si="4"/>
        <v>23.6</v>
      </c>
      <c r="H47" s="88" t="s">
        <v>20</v>
      </c>
      <c r="I47" s="117">
        <f t="shared" si="7"/>
        <v>9715.14</v>
      </c>
      <c r="J47" s="110">
        <f t="shared" si="2"/>
        <v>24.29</v>
      </c>
      <c r="K47" s="111">
        <f t="shared" si="6"/>
        <v>0.0044</v>
      </c>
      <c r="L47" s="56" t="s">
        <v>85</v>
      </c>
      <c r="M47" s="113"/>
    </row>
    <row r="48" s="2" customFormat="1" ht="45" customHeight="1" spans="1:13">
      <c r="A48" s="33">
        <v>10</v>
      </c>
      <c r="B48" s="36" t="s">
        <v>86</v>
      </c>
      <c r="C48" s="24"/>
      <c r="D48" s="24"/>
      <c r="E48" s="24"/>
      <c r="F48" s="24">
        <f>ROUND(117.2*5*290*0.5/10000,2)</f>
        <v>8.5</v>
      </c>
      <c r="G48" s="24">
        <f t="shared" si="4"/>
        <v>8.5</v>
      </c>
      <c r="H48" s="88" t="s">
        <v>20</v>
      </c>
      <c r="I48" s="117">
        <f t="shared" si="7"/>
        <v>9715.14</v>
      </c>
      <c r="J48" s="110">
        <f t="shared" si="2"/>
        <v>8.75</v>
      </c>
      <c r="K48" s="111">
        <f t="shared" si="6"/>
        <v>0.0016</v>
      </c>
      <c r="L48" s="56" t="s">
        <v>87</v>
      </c>
      <c r="M48" s="113"/>
    </row>
    <row r="49" s="1" customFormat="1" ht="39" customHeight="1" outlineLevel="1" spans="1:13">
      <c r="A49" s="31" t="s">
        <v>88</v>
      </c>
      <c r="B49" s="32" t="s">
        <v>89</v>
      </c>
      <c r="C49" s="19"/>
      <c r="D49" s="19"/>
      <c r="E49" s="19"/>
      <c r="F49" s="19">
        <f>F50</f>
        <v>20</v>
      </c>
      <c r="G49" s="19">
        <f t="shared" ref="G49:G98" si="8">ROUND(SUM(C49:F49),2)</f>
        <v>20</v>
      </c>
      <c r="H49" s="90" t="s">
        <v>20</v>
      </c>
      <c r="I49" s="122">
        <f t="shared" si="7"/>
        <v>9715.14</v>
      </c>
      <c r="J49" s="83">
        <f t="shared" si="2"/>
        <v>20.59</v>
      </c>
      <c r="K49" s="104">
        <f t="shared" ref="K49:K53" si="9">ROUND(G49/$G$53,4)</f>
        <v>0.0037</v>
      </c>
      <c r="L49" s="105"/>
      <c r="M49" s="106"/>
    </row>
    <row r="50" s="2" customFormat="1" ht="23.25" customHeight="1" outlineLevel="1" spans="1:13">
      <c r="A50" s="33">
        <v>1</v>
      </c>
      <c r="B50" s="34" t="s">
        <v>90</v>
      </c>
      <c r="C50" s="24"/>
      <c r="D50" s="24"/>
      <c r="E50" s="24"/>
      <c r="F50" s="24">
        <v>20</v>
      </c>
      <c r="G50" s="24">
        <f t="shared" si="8"/>
        <v>20</v>
      </c>
      <c r="H50" s="88" t="s">
        <v>20</v>
      </c>
      <c r="I50" s="123">
        <f t="shared" si="7"/>
        <v>9715.14</v>
      </c>
      <c r="J50" s="110">
        <f t="shared" si="2"/>
        <v>20.59</v>
      </c>
      <c r="K50" s="111">
        <f t="shared" si="9"/>
        <v>0.0037</v>
      </c>
      <c r="L50" s="61" t="s">
        <v>91</v>
      </c>
      <c r="M50" s="113"/>
    </row>
    <row r="51" s="1" customFormat="1" ht="23.25" customHeight="1" outlineLevel="1" spans="1:13">
      <c r="A51" s="31" t="s">
        <v>92</v>
      </c>
      <c r="B51" s="32" t="s">
        <v>93</v>
      </c>
      <c r="C51" s="19"/>
      <c r="D51" s="19"/>
      <c r="E51" s="19"/>
      <c r="F51" s="19">
        <f>F52</f>
        <v>254.59</v>
      </c>
      <c r="G51" s="19">
        <f t="shared" si="8"/>
        <v>254.59</v>
      </c>
      <c r="H51" s="90" t="s">
        <v>20</v>
      </c>
      <c r="I51" s="122">
        <f t="shared" si="7"/>
        <v>9715.14</v>
      </c>
      <c r="J51" s="83">
        <f t="shared" si="2"/>
        <v>262.05</v>
      </c>
      <c r="K51" s="104">
        <f t="shared" si="9"/>
        <v>0.0476</v>
      </c>
      <c r="L51" s="108"/>
      <c r="M51" s="106"/>
    </row>
    <row r="52" s="2" customFormat="1" ht="49" customHeight="1" outlineLevel="1" spans="1:13">
      <c r="A52" s="33">
        <v>1</v>
      </c>
      <c r="B52" s="34" t="s">
        <v>94</v>
      </c>
      <c r="C52" s="24"/>
      <c r="D52" s="24"/>
      <c r="E52" s="24"/>
      <c r="F52" s="24">
        <f>ROUND((G5+G22)*5%,2)</f>
        <v>254.59</v>
      </c>
      <c r="G52" s="24">
        <f t="shared" si="8"/>
        <v>254.59</v>
      </c>
      <c r="H52" s="88" t="s">
        <v>20</v>
      </c>
      <c r="I52" s="123">
        <f t="shared" si="7"/>
        <v>9715.14</v>
      </c>
      <c r="J52" s="110">
        <f t="shared" si="2"/>
        <v>262.05</v>
      </c>
      <c r="K52" s="111">
        <f t="shared" si="9"/>
        <v>0.0476</v>
      </c>
      <c r="L52" s="56" t="s">
        <v>95</v>
      </c>
      <c r="M52" s="113"/>
    </row>
    <row r="53" s="1" customFormat="1" ht="23.25" customHeight="1" outlineLevel="1" spans="1:13">
      <c r="A53" s="31" t="s">
        <v>96</v>
      </c>
      <c r="B53" s="32" t="s">
        <v>97</v>
      </c>
      <c r="C53" s="19">
        <f>C5</f>
        <v>3734.34</v>
      </c>
      <c r="D53" s="19">
        <f>D5</f>
        <v>984.84</v>
      </c>
      <c r="E53" s="19">
        <v>0</v>
      </c>
      <c r="F53" s="19">
        <f>F22+F51</f>
        <v>627.15</v>
      </c>
      <c r="G53" s="19">
        <f t="shared" si="8"/>
        <v>5346.33</v>
      </c>
      <c r="H53" s="90" t="s">
        <v>20</v>
      </c>
      <c r="I53" s="122">
        <f t="shared" si="7"/>
        <v>9715.14</v>
      </c>
      <c r="J53" s="83">
        <f t="shared" si="2"/>
        <v>5503.09</v>
      </c>
      <c r="K53" s="104">
        <f t="shared" si="9"/>
        <v>1</v>
      </c>
      <c r="L53" s="108"/>
      <c r="M53" s="106"/>
    </row>
  </sheetData>
  <sheetProtection formatCells="0" formatColumns="0" formatRows="0" insertRows="0" insertColumns="0" insertHyperlinks="0" deleteColumns="0" deleteRows="0" sort="0" autoFilter="0" pivotTables="0"/>
  <mergeCells count="7">
    <mergeCell ref="A1:L1"/>
    <mergeCell ref="C3:G3"/>
    <mergeCell ref="H3:J3"/>
    <mergeCell ref="A3:A4"/>
    <mergeCell ref="B3:B4"/>
    <mergeCell ref="K3:K4"/>
    <mergeCell ref="L3:L4"/>
  </mergeCells>
  <pageMargins left="0.75" right="0.75" top="1" bottom="1" header="0.511805555555556" footer="0.511805555555556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4"/>
  <sheetViews>
    <sheetView tabSelected="1" view="pageBreakPreview" zoomScaleNormal="100" topLeftCell="B1" workbookViewId="0">
      <pane ySplit="4" topLeftCell="A41" activePane="bottomLeft" state="frozen"/>
      <selection/>
      <selection pane="bottomLeft" activeCell="F42" sqref="F42"/>
    </sheetView>
  </sheetViews>
  <sheetFormatPr defaultColWidth="9" defaultRowHeight="13.5"/>
  <cols>
    <col min="1" max="1" width="9" style="3"/>
    <col min="2" max="2" width="21.25" style="4" customWidth="1"/>
    <col min="3" max="12" width="14" style="2" customWidth="1"/>
    <col min="13" max="13" width="19.25" style="2" customWidth="1"/>
    <col min="14" max="14" width="23.25" style="4" customWidth="1"/>
    <col min="15" max="15" width="14" style="2" hidden="1" customWidth="1"/>
    <col min="16" max="17" width="9" style="2" hidden="1" customWidth="1"/>
    <col min="18" max="18" width="15.3833333333333"/>
  </cols>
  <sheetData>
    <row r="1" ht="31" customHeight="1" spans="1:17">
      <c r="A1" s="5" t="s">
        <v>98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37"/>
      <c r="N1" s="38"/>
      <c r="O1" s="7"/>
      <c r="P1" s="39"/>
      <c r="Q1" s="62"/>
    </row>
    <row r="2" ht="24" customHeight="1" spans="1:17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2</v>
      </c>
      <c r="O2" s="40" t="s">
        <v>2</v>
      </c>
      <c r="P2" s="39"/>
      <c r="Q2" s="62"/>
    </row>
    <row r="3" ht="23" customHeight="1" spans="1:17">
      <c r="A3" s="11" t="s">
        <v>3</v>
      </c>
      <c r="B3" s="12" t="s">
        <v>4</v>
      </c>
      <c r="C3" s="13" t="s">
        <v>99</v>
      </c>
      <c r="D3" s="13"/>
      <c r="E3" s="13"/>
      <c r="F3" s="13"/>
      <c r="G3" s="13"/>
      <c r="H3" s="13" t="s">
        <v>100</v>
      </c>
      <c r="I3" s="13"/>
      <c r="J3" s="13"/>
      <c r="K3" s="13"/>
      <c r="L3" s="13"/>
      <c r="M3" s="41" t="s">
        <v>101</v>
      </c>
      <c r="N3" s="42" t="s">
        <v>8</v>
      </c>
      <c r="O3" s="43" t="s">
        <v>8</v>
      </c>
      <c r="P3" s="43"/>
      <c r="Q3" s="43"/>
    </row>
    <row r="4" ht="40.5" spans="1:17">
      <c r="A4" s="14"/>
      <c r="B4" s="15"/>
      <c r="C4" s="16" t="s">
        <v>9</v>
      </c>
      <c r="D4" s="16" t="s">
        <v>10</v>
      </c>
      <c r="E4" s="16" t="s">
        <v>11</v>
      </c>
      <c r="F4" s="13" t="s">
        <v>12</v>
      </c>
      <c r="G4" s="13" t="s">
        <v>13</v>
      </c>
      <c r="H4" s="16" t="s">
        <v>9</v>
      </c>
      <c r="I4" s="16" t="s">
        <v>10</v>
      </c>
      <c r="J4" s="16" t="s">
        <v>11</v>
      </c>
      <c r="K4" s="13" t="s">
        <v>12</v>
      </c>
      <c r="L4" s="13" t="s">
        <v>13</v>
      </c>
      <c r="M4" s="44"/>
      <c r="N4" s="45"/>
      <c r="O4" s="46" t="s">
        <v>102</v>
      </c>
      <c r="P4" s="47" t="s">
        <v>103</v>
      </c>
      <c r="Q4" s="63" t="s">
        <v>8</v>
      </c>
    </row>
    <row r="5" s="1" customFormat="1" ht="27" customHeight="1" spans="1:17">
      <c r="A5" s="17" t="s">
        <v>18</v>
      </c>
      <c r="B5" s="18" t="s">
        <v>19</v>
      </c>
      <c r="C5" s="19">
        <f>C6+C13+C19</f>
        <v>4317.94</v>
      </c>
      <c r="D5" s="19">
        <f>D6+D13</f>
        <v>983.59</v>
      </c>
      <c r="E5" s="19"/>
      <c r="F5" s="19"/>
      <c r="G5" s="19">
        <f>ROUND(SUM(C5:F5),2)</f>
        <v>5301.53</v>
      </c>
      <c r="H5" s="19">
        <f>概算汇总表!C5</f>
        <v>3734.34</v>
      </c>
      <c r="I5" s="19">
        <f>概算汇总表!D5</f>
        <v>984.84</v>
      </c>
      <c r="J5" s="19"/>
      <c r="K5" s="19"/>
      <c r="L5" s="19">
        <f t="shared" ref="L5:L23" si="0">ROUND(SUM(H5:K5),2)</f>
        <v>4719.18</v>
      </c>
      <c r="M5" s="19">
        <f t="shared" ref="M5:M12" si="1">ROUND(L5-G5,2)</f>
        <v>-582.35</v>
      </c>
      <c r="N5" s="32" t="s">
        <v>21</v>
      </c>
      <c r="O5" s="48"/>
      <c r="P5" s="49"/>
      <c r="Q5" s="64"/>
    </row>
    <row r="6" s="1" customFormat="1" ht="27" customHeight="1" spans="1:17">
      <c r="A6" s="20" t="s">
        <v>22</v>
      </c>
      <c r="B6" s="21" t="s">
        <v>23</v>
      </c>
      <c r="C6" s="19">
        <f>SUM(C7:C11)</f>
        <v>1500.89</v>
      </c>
      <c r="D6" s="19">
        <f>SUM(D8:D12)</f>
        <v>211.96</v>
      </c>
      <c r="E6" s="19"/>
      <c r="F6" s="19"/>
      <c r="G6" s="19">
        <f>ROUND(SUM(C6:F6),2)</f>
        <v>1712.85</v>
      </c>
      <c r="H6" s="19">
        <f>概算汇总表!C7</f>
        <v>1270.75</v>
      </c>
      <c r="I6" s="19">
        <f>SUM(I8:I12)</f>
        <v>225.73</v>
      </c>
      <c r="J6" s="19"/>
      <c r="K6" s="19"/>
      <c r="L6" s="19">
        <f t="shared" si="0"/>
        <v>1496.48</v>
      </c>
      <c r="M6" s="19">
        <f t="shared" si="1"/>
        <v>-216.37</v>
      </c>
      <c r="N6" s="32"/>
      <c r="O6" s="48" t="s">
        <v>104</v>
      </c>
      <c r="P6" s="49"/>
      <c r="Q6" s="64"/>
    </row>
    <row r="7" s="2" customFormat="1" ht="27" customHeight="1" outlineLevel="1" spans="1:17">
      <c r="A7" s="22" t="s">
        <v>24</v>
      </c>
      <c r="B7" s="23" t="s">
        <v>25</v>
      </c>
      <c r="C7" s="24">
        <v>1500.89</v>
      </c>
      <c r="D7" s="24"/>
      <c r="E7" s="24"/>
      <c r="F7" s="24"/>
      <c r="G7" s="24">
        <f>ROUND(SUM(C7:F7),2)</f>
        <v>1500.89</v>
      </c>
      <c r="H7" s="24">
        <f>概算汇总表!G7</f>
        <v>1270.75</v>
      </c>
      <c r="I7" s="24"/>
      <c r="J7" s="24"/>
      <c r="K7" s="24"/>
      <c r="L7" s="24">
        <f t="shared" si="0"/>
        <v>1270.75</v>
      </c>
      <c r="M7" s="24">
        <f t="shared" si="1"/>
        <v>-230.14</v>
      </c>
      <c r="N7" s="34"/>
      <c r="O7" s="50"/>
      <c r="P7" s="51"/>
      <c r="Q7" s="65"/>
    </row>
    <row r="8" s="2" customFormat="1" ht="27" customHeight="1" outlineLevel="1" spans="1:17">
      <c r="A8" s="22" t="s">
        <v>26</v>
      </c>
      <c r="B8" s="23" t="s">
        <v>27</v>
      </c>
      <c r="C8" s="25"/>
      <c r="D8" s="24">
        <v>133.8</v>
      </c>
      <c r="E8" s="24"/>
      <c r="F8" s="24"/>
      <c r="G8" s="24">
        <f>ROUND(SUM(D8:F8),2)</f>
        <v>133.8</v>
      </c>
      <c r="H8" s="24"/>
      <c r="I8" s="24">
        <f>概算汇总表!G8</f>
        <v>129.47</v>
      </c>
      <c r="J8" s="24"/>
      <c r="K8" s="24"/>
      <c r="L8" s="24">
        <f t="shared" si="0"/>
        <v>129.47</v>
      </c>
      <c r="M8" s="24">
        <f t="shared" si="1"/>
        <v>-4.33</v>
      </c>
      <c r="N8" s="34"/>
      <c r="O8" s="28"/>
      <c r="P8" s="28"/>
      <c r="Q8" s="28"/>
    </row>
    <row r="9" s="2" customFormat="1" ht="27" customHeight="1" outlineLevel="1" spans="1:17">
      <c r="A9" s="22" t="s">
        <v>28</v>
      </c>
      <c r="B9" s="23" t="s">
        <v>29</v>
      </c>
      <c r="C9" s="26"/>
      <c r="D9" s="24">
        <v>25.28</v>
      </c>
      <c r="E9" s="24"/>
      <c r="F9" s="24"/>
      <c r="G9" s="24">
        <f>ROUND(SUM(D9:F9),2)</f>
        <v>25.28</v>
      </c>
      <c r="H9" s="24"/>
      <c r="I9" s="24">
        <f>概算汇总表!G9</f>
        <v>24.86</v>
      </c>
      <c r="J9" s="24"/>
      <c r="K9" s="24"/>
      <c r="L9" s="24">
        <f t="shared" si="0"/>
        <v>24.86</v>
      </c>
      <c r="M9" s="24">
        <f t="shared" si="1"/>
        <v>-0.42</v>
      </c>
      <c r="N9" s="34"/>
      <c r="O9" s="28"/>
      <c r="P9" s="28"/>
      <c r="Q9" s="28"/>
    </row>
    <row r="10" s="2" customFormat="1" ht="27" customHeight="1" outlineLevel="1" spans="1:17">
      <c r="A10" s="22" t="s">
        <v>30</v>
      </c>
      <c r="B10" s="23" t="s">
        <v>31</v>
      </c>
      <c r="C10" s="26"/>
      <c r="D10" s="24">
        <v>4.38</v>
      </c>
      <c r="E10" s="24"/>
      <c r="F10" s="24"/>
      <c r="G10" s="24">
        <f>ROUND(SUM(D10:F10),2)</f>
        <v>4.38</v>
      </c>
      <c r="H10" s="24"/>
      <c r="I10" s="24">
        <f>概算汇总表!G10</f>
        <v>4.39</v>
      </c>
      <c r="J10" s="24"/>
      <c r="K10" s="24"/>
      <c r="L10" s="24">
        <f t="shared" si="0"/>
        <v>4.39</v>
      </c>
      <c r="M10" s="24">
        <f t="shared" si="1"/>
        <v>0.01</v>
      </c>
      <c r="N10" s="34"/>
      <c r="O10" s="28"/>
      <c r="P10" s="28"/>
      <c r="Q10" s="28"/>
    </row>
    <row r="11" s="2" customFormat="1" ht="27" customHeight="1" outlineLevel="1" spans="1:17">
      <c r="A11" s="22" t="s">
        <v>32</v>
      </c>
      <c r="B11" s="23" t="s">
        <v>33</v>
      </c>
      <c r="C11" s="26"/>
      <c r="D11" s="24">
        <v>48.5</v>
      </c>
      <c r="E11" s="24"/>
      <c r="F11" s="24"/>
      <c r="G11" s="24">
        <f>ROUND(SUM(D11:F11),2)</f>
        <v>48.5</v>
      </c>
      <c r="H11" s="24"/>
      <c r="I11" s="24">
        <f>概算汇总表!G11</f>
        <v>42.01</v>
      </c>
      <c r="J11" s="24"/>
      <c r="K11" s="24"/>
      <c r="L11" s="24">
        <f t="shared" si="0"/>
        <v>42.01</v>
      </c>
      <c r="M11" s="24">
        <f t="shared" si="1"/>
        <v>-6.49</v>
      </c>
      <c r="N11" s="34"/>
      <c r="O11" s="28"/>
      <c r="P11" s="28"/>
      <c r="Q11" s="28"/>
    </row>
    <row r="12" s="2" customFormat="1" ht="27" customHeight="1" outlineLevel="1" spans="1:17">
      <c r="A12" s="22" t="s">
        <v>34</v>
      </c>
      <c r="B12" s="23" t="s">
        <v>35</v>
      </c>
      <c r="C12" s="27"/>
      <c r="D12" s="24">
        <v>0</v>
      </c>
      <c r="E12" s="24"/>
      <c r="F12" s="24"/>
      <c r="G12" s="24">
        <f>ROUND(SUM(D12:F12),2)</f>
        <v>0</v>
      </c>
      <c r="H12" s="24"/>
      <c r="I12" s="24">
        <f>概算汇总表!G12</f>
        <v>25</v>
      </c>
      <c r="J12" s="24"/>
      <c r="K12" s="24"/>
      <c r="L12" s="24">
        <f t="shared" si="0"/>
        <v>25</v>
      </c>
      <c r="M12" s="24">
        <f t="shared" si="1"/>
        <v>25</v>
      </c>
      <c r="N12" s="34"/>
      <c r="O12" s="28"/>
      <c r="P12" s="28"/>
      <c r="Q12" s="28"/>
    </row>
    <row r="13" s="1" customFormat="1" ht="27" customHeight="1" spans="1:17">
      <c r="A13" s="20">
        <v>2</v>
      </c>
      <c r="B13" s="21" t="s">
        <v>36</v>
      </c>
      <c r="C13" s="19">
        <f>SUM(C14:C18)</f>
        <v>2546.69</v>
      </c>
      <c r="D13" s="19">
        <f>SUM(D14:D18)</f>
        <v>771.63</v>
      </c>
      <c r="E13" s="19"/>
      <c r="F13" s="19"/>
      <c r="G13" s="19">
        <f>ROUND(SUM(C13:F13),2)</f>
        <v>3318.32</v>
      </c>
      <c r="H13" s="19">
        <f>H14</f>
        <v>2161.32</v>
      </c>
      <c r="I13" s="19">
        <f>SUM(I15:I18)</f>
        <v>759.11</v>
      </c>
      <c r="J13" s="19"/>
      <c r="K13" s="19"/>
      <c r="L13" s="19">
        <f t="shared" si="0"/>
        <v>2920.43</v>
      </c>
      <c r="M13" s="19">
        <f t="shared" ref="M13:M34" si="2">ROUND(L13-G13,2)</f>
        <v>-397.89</v>
      </c>
      <c r="N13" s="32"/>
      <c r="O13" s="52"/>
      <c r="P13" s="52"/>
      <c r="Q13" s="52"/>
    </row>
    <row r="14" s="2" customFormat="1" ht="27" customHeight="1" outlineLevel="1" spans="1:17">
      <c r="A14" s="22" t="s">
        <v>24</v>
      </c>
      <c r="B14" s="23" t="s">
        <v>25</v>
      </c>
      <c r="C14" s="24">
        <v>2546.69</v>
      </c>
      <c r="D14" s="24"/>
      <c r="E14" s="24"/>
      <c r="F14" s="24"/>
      <c r="G14" s="24">
        <f>ROUND(SUM(C14:F14),2)</f>
        <v>2546.69</v>
      </c>
      <c r="H14" s="24">
        <f>概算汇总表!G14</f>
        <v>2161.32</v>
      </c>
      <c r="I14" s="24"/>
      <c r="J14" s="24"/>
      <c r="K14" s="24"/>
      <c r="L14" s="24">
        <f t="shared" si="0"/>
        <v>2161.32</v>
      </c>
      <c r="M14" s="24">
        <f t="shared" si="2"/>
        <v>-385.37</v>
      </c>
      <c r="N14" s="34"/>
      <c r="O14" s="28"/>
      <c r="P14" s="28"/>
      <c r="Q14" s="28"/>
    </row>
    <row r="15" s="2" customFormat="1" ht="27" customHeight="1" outlineLevel="1" spans="1:17">
      <c r="A15" s="22" t="s">
        <v>26</v>
      </c>
      <c r="B15" s="23" t="s">
        <v>27</v>
      </c>
      <c r="C15" s="28"/>
      <c r="D15" s="24">
        <v>448.27</v>
      </c>
      <c r="E15" s="24"/>
      <c r="F15" s="24"/>
      <c r="G15" s="24">
        <f>ROUND(SUM(D15:F15),2)</f>
        <v>448.27</v>
      </c>
      <c r="H15" s="24"/>
      <c r="I15" s="24">
        <f>概算汇总表!G15</f>
        <v>437.01</v>
      </c>
      <c r="J15" s="24"/>
      <c r="K15" s="24"/>
      <c r="L15" s="24">
        <f t="shared" si="0"/>
        <v>437.01</v>
      </c>
      <c r="M15" s="24">
        <f t="shared" si="2"/>
        <v>-11.26</v>
      </c>
      <c r="N15" s="34"/>
      <c r="O15" s="28"/>
      <c r="P15" s="28"/>
      <c r="Q15" s="28"/>
    </row>
    <row r="16" s="2" customFormat="1" ht="27" customHeight="1" outlineLevel="1" spans="1:17">
      <c r="A16" s="22" t="s">
        <v>28</v>
      </c>
      <c r="B16" s="23" t="s">
        <v>29</v>
      </c>
      <c r="C16" s="24"/>
      <c r="D16" s="24">
        <v>18.75</v>
      </c>
      <c r="E16" s="24"/>
      <c r="F16" s="24"/>
      <c r="G16" s="24">
        <f t="shared" ref="G16:G28" si="3">ROUND(SUM(C16:F16),2)</f>
        <v>18.75</v>
      </c>
      <c r="H16" s="24"/>
      <c r="I16" s="24">
        <f>概算汇总表!G16</f>
        <v>18.43</v>
      </c>
      <c r="J16" s="24"/>
      <c r="K16" s="24"/>
      <c r="L16" s="24">
        <f t="shared" si="0"/>
        <v>18.43</v>
      </c>
      <c r="M16" s="24">
        <f t="shared" si="2"/>
        <v>-0.32</v>
      </c>
      <c r="N16" s="34"/>
      <c r="O16" s="28"/>
      <c r="P16" s="28"/>
      <c r="Q16" s="28"/>
    </row>
    <row r="17" s="2" customFormat="1" ht="27" customHeight="1" outlineLevel="1" spans="1:17">
      <c r="A17" s="22" t="s">
        <v>30</v>
      </c>
      <c r="B17" s="23" t="s">
        <v>31</v>
      </c>
      <c r="C17" s="24"/>
      <c r="D17" s="24">
        <v>281.52</v>
      </c>
      <c r="E17" s="24"/>
      <c r="F17" s="24"/>
      <c r="G17" s="24">
        <f t="shared" si="3"/>
        <v>281.52</v>
      </c>
      <c r="H17" s="24"/>
      <c r="I17" s="24">
        <f>概算汇总表!G17</f>
        <v>281.66</v>
      </c>
      <c r="J17" s="24"/>
      <c r="K17" s="24"/>
      <c r="L17" s="24">
        <f t="shared" si="0"/>
        <v>281.66</v>
      </c>
      <c r="M17" s="24">
        <f t="shared" si="2"/>
        <v>0.14</v>
      </c>
      <c r="N17" s="34"/>
      <c r="O17" s="28"/>
      <c r="P17" s="28"/>
      <c r="Q17" s="28"/>
    </row>
    <row r="18" s="2" customFormat="1" ht="27" customHeight="1" outlineLevel="1" spans="1:17">
      <c r="A18" s="22" t="s">
        <v>32</v>
      </c>
      <c r="B18" s="23" t="s">
        <v>33</v>
      </c>
      <c r="C18" s="24"/>
      <c r="D18" s="24">
        <v>23.09</v>
      </c>
      <c r="E18" s="24"/>
      <c r="F18" s="24"/>
      <c r="G18" s="24">
        <f t="shared" si="3"/>
        <v>23.09</v>
      </c>
      <c r="H18" s="24"/>
      <c r="I18" s="24">
        <f>概算汇总表!G18</f>
        <v>22.01</v>
      </c>
      <c r="J18" s="24"/>
      <c r="K18" s="24"/>
      <c r="L18" s="24">
        <f t="shared" si="0"/>
        <v>22.01</v>
      </c>
      <c r="M18" s="24">
        <f t="shared" si="2"/>
        <v>-1.08</v>
      </c>
      <c r="N18" s="34"/>
      <c r="O18" s="28"/>
      <c r="P18" s="28"/>
      <c r="Q18" s="28"/>
    </row>
    <row r="19" s="1" customFormat="1" ht="27" customHeight="1" spans="1:17">
      <c r="A19" s="20">
        <v>3</v>
      </c>
      <c r="B19" s="21" t="s">
        <v>37</v>
      </c>
      <c r="C19" s="19">
        <f>SUM(C20:C21)</f>
        <v>270.36</v>
      </c>
      <c r="D19" s="19">
        <f>SUM(D20:D21)</f>
        <v>0</v>
      </c>
      <c r="E19" s="19"/>
      <c r="F19" s="19"/>
      <c r="G19" s="19">
        <f t="shared" si="3"/>
        <v>270.36</v>
      </c>
      <c r="H19" s="19">
        <f>H20+H21</f>
        <v>302.27</v>
      </c>
      <c r="I19" s="19"/>
      <c r="J19" s="19"/>
      <c r="K19" s="19"/>
      <c r="L19" s="19">
        <f t="shared" si="0"/>
        <v>302.27</v>
      </c>
      <c r="M19" s="19">
        <f t="shared" si="2"/>
        <v>31.91</v>
      </c>
      <c r="N19" s="32"/>
      <c r="O19" s="52"/>
      <c r="P19" s="52"/>
      <c r="Q19" s="52"/>
    </row>
    <row r="20" s="2" customFormat="1" ht="27" customHeight="1" outlineLevel="1" spans="1:17">
      <c r="A20" s="22" t="s">
        <v>24</v>
      </c>
      <c r="B20" s="23" t="s">
        <v>38</v>
      </c>
      <c r="C20" s="29">
        <v>270.36</v>
      </c>
      <c r="D20" s="24"/>
      <c r="E20" s="24"/>
      <c r="F20" s="24"/>
      <c r="G20" s="24">
        <f t="shared" si="3"/>
        <v>270.36</v>
      </c>
      <c r="H20" s="24">
        <f>概算汇总表!G20</f>
        <v>251.75</v>
      </c>
      <c r="I20" s="24"/>
      <c r="J20" s="24"/>
      <c r="K20" s="24"/>
      <c r="L20" s="24">
        <f t="shared" si="0"/>
        <v>251.75</v>
      </c>
      <c r="M20" s="24">
        <f t="shared" si="2"/>
        <v>-18.61</v>
      </c>
      <c r="N20" s="53" t="s">
        <v>39</v>
      </c>
      <c r="O20" s="28"/>
      <c r="P20" s="28"/>
      <c r="Q20" s="28"/>
    </row>
    <row r="21" s="2" customFormat="1" ht="27" customHeight="1" outlineLevel="1" spans="1:17">
      <c r="A21" s="22" t="s">
        <v>26</v>
      </c>
      <c r="B21" s="23" t="s">
        <v>40</v>
      </c>
      <c r="C21" s="30"/>
      <c r="D21" s="24"/>
      <c r="E21" s="24"/>
      <c r="F21" s="24"/>
      <c r="G21" s="24">
        <f t="shared" si="3"/>
        <v>0</v>
      </c>
      <c r="H21" s="24">
        <f>概算汇总表!G21</f>
        <v>50.52</v>
      </c>
      <c r="I21" s="24"/>
      <c r="J21" s="24"/>
      <c r="K21" s="24"/>
      <c r="L21" s="24">
        <f t="shared" si="0"/>
        <v>50.52</v>
      </c>
      <c r="M21" s="24">
        <f t="shared" si="2"/>
        <v>50.52</v>
      </c>
      <c r="N21" s="53" t="s">
        <v>41</v>
      </c>
      <c r="O21" s="28"/>
      <c r="P21" s="28"/>
      <c r="Q21" s="28"/>
    </row>
    <row r="22" s="1" customFormat="1" ht="25.5" customHeight="1" spans="1:17">
      <c r="A22" s="31" t="s">
        <v>42</v>
      </c>
      <c r="B22" s="18" t="s">
        <v>43</v>
      </c>
      <c r="C22" s="19"/>
      <c r="D22" s="19"/>
      <c r="E22" s="19"/>
      <c r="F22" s="19">
        <f>F23+F50</f>
        <v>398</v>
      </c>
      <c r="G22" s="19">
        <f t="shared" si="3"/>
        <v>398</v>
      </c>
      <c r="H22" s="19"/>
      <c r="I22" s="19"/>
      <c r="J22" s="19"/>
      <c r="K22" s="19">
        <f>K23+K50</f>
        <v>372.56</v>
      </c>
      <c r="L22" s="19">
        <f t="shared" si="0"/>
        <v>372.56</v>
      </c>
      <c r="M22" s="19">
        <f t="shared" si="2"/>
        <v>-25.44</v>
      </c>
      <c r="N22" s="32"/>
      <c r="O22" s="54"/>
      <c r="P22" s="55"/>
      <c r="Q22" s="55"/>
    </row>
    <row r="23" s="1" customFormat="1" ht="32" customHeight="1" spans="1:17">
      <c r="A23" s="31" t="s">
        <v>44</v>
      </c>
      <c r="B23" s="32" t="s">
        <v>45</v>
      </c>
      <c r="C23" s="19"/>
      <c r="D23" s="19"/>
      <c r="E23" s="19"/>
      <c r="F23" s="19">
        <f>F24+F25+F26+F27+F28+F29+F33+F46+F47+F48+F49</f>
        <v>378</v>
      </c>
      <c r="G23" s="19">
        <f t="shared" si="3"/>
        <v>378</v>
      </c>
      <c r="H23" s="19"/>
      <c r="I23" s="19"/>
      <c r="J23" s="19"/>
      <c r="K23" s="19">
        <f>K24+K25+K26+K27+K28+K29+K33+K46+K47+K48+K49</f>
        <v>352.56</v>
      </c>
      <c r="L23" s="19">
        <f t="shared" si="0"/>
        <v>352.56</v>
      </c>
      <c r="M23" s="19">
        <f t="shared" si="2"/>
        <v>-25.44</v>
      </c>
      <c r="N23" s="32"/>
      <c r="O23" s="52"/>
      <c r="P23" s="52"/>
      <c r="Q23" s="52"/>
    </row>
    <row r="24" ht="25.5" customHeight="1" spans="1:17">
      <c r="A24" s="33">
        <v>1</v>
      </c>
      <c r="B24" s="34" t="s">
        <v>46</v>
      </c>
      <c r="C24" s="24"/>
      <c r="D24" s="24"/>
      <c r="E24" s="24"/>
      <c r="F24" s="24">
        <v>20</v>
      </c>
      <c r="G24" s="24">
        <f t="shared" si="3"/>
        <v>20</v>
      </c>
      <c r="H24" s="24"/>
      <c r="I24" s="24"/>
      <c r="J24" s="24"/>
      <c r="K24" s="24">
        <f>概算汇总表!G24</f>
        <v>23.6</v>
      </c>
      <c r="L24" s="24">
        <f>SUM(H24:K24)</f>
        <v>23.6</v>
      </c>
      <c r="M24" s="24">
        <f t="shared" si="2"/>
        <v>3.6</v>
      </c>
      <c r="N24" s="56" t="s">
        <v>47</v>
      </c>
      <c r="O24" s="28"/>
      <c r="P24" s="28"/>
      <c r="Q24" s="28"/>
    </row>
    <row r="25" ht="25.5" customHeight="1" spans="1:17">
      <c r="A25" s="33">
        <v>2</v>
      </c>
      <c r="B25" s="34" t="s">
        <v>48</v>
      </c>
      <c r="C25" s="24"/>
      <c r="D25" s="24"/>
      <c r="E25" s="24"/>
      <c r="F25" s="24">
        <v>50</v>
      </c>
      <c r="G25" s="24">
        <f t="shared" si="3"/>
        <v>50</v>
      </c>
      <c r="H25" s="24"/>
      <c r="I25" s="24"/>
      <c r="J25" s="24"/>
      <c r="K25" s="24">
        <f>概算汇总表!G25</f>
        <v>60.63</v>
      </c>
      <c r="L25" s="24">
        <f>SUM(H25:K25)</f>
        <v>60.63</v>
      </c>
      <c r="M25" s="24">
        <f t="shared" si="2"/>
        <v>10.63</v>
      </c>
      <c r="N25" s="56" t="s">
        <v>49</v>
      </c>
      <c r="O25" s="28"/>
      <c r="P25" s="28"/>
      <c r="Q25" s="28"/>
    </row>
    <row r="26" ht="38.25" customHeight="1" spans="1:17">
      <c r="A26" s="33">
        <v>3</v>
      </c>
      <c r="B26" s="34" t="s">
        <v>50</v>
      </c>
      <c r="C26" s="24"/>
      <c r="D26" s="24"/>
      <c r="E26" s="24"/>
      <c r="F26" s="24">
        <v>90</v>
      </c>
      <c r="G26" s="24">
        <f t="shared" si="3"/>
        <v>90</v>
      </c>
      <c r="H26" s="24"/>
      <c r="I26" s="24"/>
      <c r="J26" s="24"/>
      <c r="K26" s="24">
        <f>概算汇总表!G26</f>
        <v>59.89</v>
      </c>
      <c r="L26" s="24">
        <f>SUM(H26:K26)</f>
        <v>59.89</v>
      </c>
      <c r="M26" s="24">
        <f t="shared" si="2"/>
        <v>-30.11</v>
      </c>
      <c r="N26" s="56" t="s">
        <v>49</v>
      </c>
      <c r="O26" s="28"/>
      <c r="P26" s="28"/>
      <c r="Q26" s="28"/>
    </row>
    <row r="27" ht="25.5" customHeight="1" spans="1:17">
      <c r="A27" s="33">
        <v>4</v>
      </c>
      <c r="B27" s="34" t="s">
        <v>51</v>
      </c>
      <c r="C27" s="24"/>
      <c r="D27" s="24"/>
      <c r="E27" s="24"/>
      <c r="F27" s="24">
        <v>12</v>
      </c>
      <c r="G27" s="24">
        <f t="shared" si="3"/>
        <v>12</v>
      </c>
      <c r="H27" s="24"/>
      <c r="I27" s="24"/>
      <c r="J27" s="24"/>
      <c r="K27" s="24">
        <f>概算汇总表!G27</f>
        <v>11.23</v>
      </c>
      <c r="L27" s="24">
        <f>SUM(H27:K27)</f>
        <v>11.23</v>
      </c>
      <c r="M27" s="24">
        <f t="shared" si="2"/>
        <v>-0.77</v>
      </c>
      <c r="N27" s="56" t="s">
        <v>49</v>
      </c>
      <c r="O27" s="28"/>
      <c r="P27" s="28"/>
      <c r="Q27" s="28"/>
    </row>
    <row r="28" ht="25.5" customHeight="1" spans="1:17">
      <c r="A28" s="35">
        <v>5</v>
      </c>
      <c r="B28" s="34" t="s">
        <v>52</v>
      </c>
      <c r="C28" s="24"/>
      <c r="D28" s="24"/>
      <c r="E28" s="24"/>
      <c r="F28" s="24">
        <v>6.12</v>
      </c>
      <c r="G28" s="24">
        <f t="shared" si="3"/>
        <v>6.12</v>
      </c>
      <c r="H28" s="24"/>
      <c r="I28" s="24"/>
      <c r="J28" s="24"/>
      <c r="K28" s="24">
        <f>概算汇总表!G28</f>
        <v>0</v>
      </c>
      <c r="L28" s="24">
        <f>SUM(H28:K28)</f>
        <v>0</v>
      </c>
      <c r="M28" s="24">
        <f t="shared" si="2"/>
        <v>-6.12</v>
      </c>
      <c r="N28" s="53" t="s">
        <v>53</v>
      </c>
      <c r="O28" s="28"/>
      <c r="P28" s="28"/>
      <c r="Q28" s="28"/>
    </row>
    <row r="29" ht="25.5" customHeight="1" spans="1:17">
      <c r="A29" s="33">
        <v>6</v>
      </c>
      <c r="B29" s="34" t="s">
        <v>54</v>
      </c>
      <c r="C29" s="24"/>
      <c r="D29" s="24"/>
      <c r="E29" s="24"/>
      <c r="F29" s="24">
        <f>F30+F32</f>
        <v>15</v>
      </c>
      <c r="G29" s="24">
        <f t="shared" ref="G29:G34" si="4">ROUND(SUM(C29:F29),2)</f>
        <v>15</v>
      </c>
      <c r="H29" s="24"/>
      <c r="I29" s="24"/>
      <c r="J29" s="24"/>
      <c r="K29" s="24">
        <f>K30+K31+K32</f>
        <v>11.32</v>
      </c>
      <c r="L29" s="24">
        <f t="shared" ref="L29:L34" si="5">SUM(H29:K29)</f>
        <v>11.32</v>
      </c>
      <c r="M29" s="24">
        <f t="shared" si="2"/>
        <v>-3.68</v>
      </c>
      <c r="N29" s="34"/>
      <c r="O29" s="28"/>
      <c r="P29" s="28"/>
      <c r="Q29" s="28"/>
    </row>
    <row r="30" ht="25.5" customHeight="1" spans="1:17">
      <c r="A30" s="33">
        <v>6.1</v>
      </c>
      <c r="B30" s="34" t="s">
        <v>55</v>
      </c>
      <c r="C30" s="24"/>
      <c r="D30" s="24"/>
      <c r="E30" s="24"/>
      <c r="F30" s="29">
        <v>9.3</v>
      </c>
      <c r="G30" s="29">
        <f t="shared" si="4"/>
        <v>9.3</v>
      </c>
      <c r="H30" s="24"/>
      <c r="I30" s="24"/>
      <c r="J30" s="24"/>
      <c r="K30" s="24">
        <f>概算汇总表!G30</f>
        <v>9.56</v>
      </c>
      <c r="L30" s="24">
        <f t="shared" si="5"/>
        <v>9.56</v>
      </c>
      <c r="M30" s="24">
        <f t="shared" si="2"/>
        <v>0.26</v>
      </c>
      <c r="N30" s="56" t="s">
        <v>56</v>
      </c>
      <c r="O30" s="28"/>
      <c r="P30" s="28"/>
      <c r="Q30" s="28"/>
    </row>
    <row r="31" ht="25.5" customHeight="1" spans="1:17">
      <c r="A31" s="33">
        <v>6.2</v>
      </c>
      <c r="B31" s="34" t="s">
        <v>57</v>
      </c>
      <c r="C31" s="24"/>
      <c r="D31" s="24"/>
      <c r="E31" s="24"/>
      <c r="F31" s="30"/>
      <c r="G31" s="30"/>
      <c r="H31" s="24"/>
      <c r="I31" s="24"/>
      <c r="J31" s="24"/>
      <c r="K31" s="24">
        <v>0</v>
      </c>
      <c r="L31" s="24">
        <f t="shared" si="5"/>
        <v>0</v>
      </c>
      <c r="M31" s="24">
        <f t="shared" si="2"/>
        <v>0</v>
      </c>
      <c r="N31" s="57" t="s">
        <v>53</v>
      </c>
      <c r="O31" s="28"/>
      <c r="P31" s="28"/>
      <c r="Q31" s="28"/>
    </row>
    <row r="32" ht="25.5" customHeight="1" spans="1:17">
      <c r="A32" s="33">
        <v>6.3</v>
      </c>
      <c r="B32" s="34" t="s">
        <v>58</v>
      </c>
      <c r="C32" s="24"/>
      <c r="D32" s="24"/>
      <c r="E32" s="24"/>
      <c r="F32" s="24">
        <v>5.7</v>
      </c>
      <c r="G32" s="24">
        <f t="shared" si="4"/>
        <v>5.7</v>
      </c>
      <c r="H32" s="24"/>
      <c r="I32" s="24"/>
      <c r="J32" s="24"/>
      <c r="K32" s="24">
        <f>概算汇总表!G32</f>
        <v>1.76</v>
      </c>
      <c r="L32" s="24">
        <f t="shared" si="5"/>
        <v>1.76</v>
      </c>
      <c r="M32" s="24">
        <f t="shared" si="2"/>
        <v>-3.94</v>
      </c>
      <c r="N32" s="58" t="s">
        <v>59</v>
      </c>
      <c r="O32" s="28"/>
      <c r="P32" s="28"/>
      <c r="Q32" s="28"/>
    </row>
    <row r="33" ht="25.5" customHeight="1" spans="1:17">
      <c r="A33" s="33">
        <v>7</v>
      </c>
      <c r="B33" s="34" t="s">
        <v>60</v>
      </c>
      <c r="C33" s="24"/>
      <c r="D33" s="24"/>
      <c r="E33" s="24"/>
      <c r="F33" s="24">
        <f>F35+F36+F37+F39+F40+F45</f>
        <v>149.83</v>
      </c>
      <c r="G33" s="24">
        <f t="shared" si="4"/>
        <v>149.83</v>
      </c>
      <c r="H33" s="24"/>
      <c r="I33" s="24"/>
      <c r="J33" s="24"/>
      <c r="K33" s="24">
        <f>K34+K35+K36+K37+K38+K39+K40+K45</f>
        <v>139.63</v>
      </c>
      <c r="L33" s="24">
        <f t="shared" si="5"/>
        <v>139.63</v>
      </c>
      <c r="M33" s="24">
        <f t="shared" si="2"/>
        <v>-10.2</v>
      </c>
      <c r="N33" s="34"/>
      <c r="O33" s="28"/>
      <c r="P33" s="28"/>
      <c r="Q33" s="28"/>
    </row>
    <row r="34" ht="25.5" customHeight="1" spans="1:17">
      <c r="A34" s="33">
        <v>7.1</v>
      </c>
      <c r="B34" s="34" t="s">
        <v>61</v>
      </c>
      <c r="C34" s="24"/>
      <c r="D34" s="24"/>
      <c r="E34" s="24"/>
      <c r="F34" s="24">
        <v>0</v>
      </c>
      <c r="G34" s="24">
        <f t="shared" si="4"/>
        <v>0</v>
      </c>
      <c r="H34" s="24"/>
      <c r="I34" s="24"/>
      <c r="J34" s="24"/>
      <c r="K34" s="24">
        <f>概算汇总表!G34</f>
        <v>0.5</v>
      </c>
      <c r="L34" s="24">
        <f t="shared" si="5"/>
        <v>0.5</v>
      </c>
      <c r="M34" s="24">
        <f t="shared" si="2"/>
        <v>0.5</v>
      </c>
      <c r="N34" s="59" t="s">
        <v>62</v>
      </c>
      <c r="O34" s="28"/>
      <c r="P34" s="28"/>
      <c r="Q34" s="28"/>
    </row>
    <row r="35" ht="25.5" customHeight="1" spans="1:17">
      <c r="A35" s="33">
        <v>7.2</v>
      </c>
      <c r="B35" s="36" t="s">
        <v>63</v>
      </c>
      <c r="C35" s="24"/>
      <c r="D35" s="24"/>
      <c r="E35" s="24"/>
      <c r="F35" s="24">
        <v>68</v>
      </c>
      <c r="G35" s="24">
        <f t="shared" ref="G35:G53" si="6">ROUND(SUM(C35:F35),2)</f>
        <v>68</v>
      </c>
      <c r="H35" s="24"/>
      <c r="I35" s="24"/>
      <c r="J35" s="24"/>
      <c r="K35" s="24">
        <f>概算汇总表!G35</f>
        <v>68</v>
      </c>
      <c r="L35" s="24">
        <f t="shared" ref="L35:L49" si="7">SUM(H35:K35)</f>
        <v>68</v>
      </c>
      <c r="M35" s="24">
        <f t="shared" ref="M35:M38" si="8">ROUND(L35-G35,2)</f>
        <v>0</v>
      </c>
      <c r="N35" s="59" t="s">
        <v>64</v>
      </c>
      <c r="O35" s="28"/>
      <c r="P35" s="28"/>
      <c r="Q35" s="28"/>
    </row>
    <row r="36" ht="25.5" customHeight="1" spans="1:17">
      <c r="A36" s="33">
        <v>7.3</v>
      </c>
      <c r="B36" s="34" t="s">
        <v>65</v>
      </c>
      <c r="C36" s="24"/>
      <c r="D36" s="24"/>
      <c r="E36" s="24"/>
      <c r="F36" s="24">
        <v>8.1</v>
      </c>
      <c r="G36" s="24">
        <f t="shared" si="6"/>
        <v>8.1</v>
      </c>
      <c r="H36" s="24"/>
      <c r="I36" s="24"/>
      <c r="J36" s="24"/>
      <c r="K36" s="24">
        <f>概算汇总表!G36</f>
        <v>3.51</v>
      </c>
      <c r="L36" s="24">
        <f t="shared" si="7"/>
        <v>3.51</v>
      </c>
      <c r="M36" s="24">
        <f t="shared" si="8"/>
        <v>-4.59</v>
      </c>
      <c r="N36" s="60" t="s">
        <v>105</v>
      </c>
      <c r="O36" s="28"/>
      <c r="P36" s="28"/>
      <c r="Q36" s="28"/>
    </row>
    <row r="37" ht="25.5" customHeight="1" spans="1:17">
      <c r="A37" s="33">
        <v>7.4</v>
      </c>
      <c r="B37" s="34" t="s">
        <v>67</v>
      </c>
      <c r="C37" s="24"/>
      <c r="D37" s="24"/>
      <c r="E37" s="24"/>
      <c r="F37" s="24">
        <v>6</v>
      </c>
      <c r="G37" s="24">
        <f t="shared" si="6"/>
        <v>6</v>
      </c>
      <c r="H37" s="24"/>
      <c r="I37" s="24"/>
      <c r="J37" s="24"/>
      <c r="K37" s="24">
        <f>概算汇总表!G37</f>
        <v>4.81</v>
      </c>
      <c r="L37" s="24">
        <f t="shared" si="7"/>
        <v>4.81</v>
      </c>
      <c r="M37" s="24">
        <f t="shared" si="8"/>
        <v>-1.19</v>
      </c>
      <c r="N37" s="61" t="s">
        <v>106</v>
      </c>
      <c r="O37" s="28"/>
      <c r="P37" s="28"/>
      <c r="Q37" s="28"/>
    </row>
    <row r="38" ht="25.5" customHeight="1" spans="1:17">
      <c r="A38" s="33">
        <v>7.5</v>
      </c>
      <c r="B38" s="34" t="s">
        <v>68</v>
      </c>
      <c r="C38" s="24"/>
      <c r="D38" s="24"/>
      <c r="E38" s="24"/>
      <c r="F38" s="24">
        <v>0</v>
      </c>
      <c r="G38" s="24">
        <f t="shared" si="6"/>
        <v>0</v>
      </c>
      <c r="H38" s="24"/>
      <c r="I38" s="24"/>
      <c r="J38" s="24"/>
      <c r="K38" s="24">
        <f>概算汇总表!G38</f>
        <v>0.52</v>
      </c>
      <c r="L38" s="24">
        <f t="shared" si="7"/>
        <v>0.52</v>
      </c>
      <c r="M38" s="24">
        <f t="shared" si="8"/>
        <v>0.52</v>
      </c>
      <c r="N38" s="61" t="s">
        <v>107</v>
      </c>
      <c r="O38" s="28"/>
      <c r="P38" s="28"/>
      <c r="Q38" s="28"/>
    </row>
    <row r="39" ht="25.5" customHeight="1" spans="1:17">
      <c r="A39" s="33">
        <v>7.6</v>
      </c>
      <c r="B39" s="34" t="s">
        <v>69</v>
      </c>
      <c r="C39" s="24"/>
      <c r="D39" s="24"/>
      <c r="E39" s="24"/>
      <c r="F39" s="24">
        <v>0.7</v>
      </c>
      <c r="G39" s="24">
        <f t="shared" si="6"/>
        <v>0.7</v>
      </c>
      <c r="H39" s="24"/>
      <c r="I39" s="24"/>
      <c r="J39" s="24"/>
      <c r="K39" s="24">
        <f>概算汇总表!G39</f>
        <v>0.69</v>
      </c>
      <c r="L39" s="24">
        <f t="shared" si="7"/>
        <v>0.69</v>
      </c>
      <c r="M39" s="24">
        <f t="shared" ref="M39:M54" si="9">ROUND(L39-G39,2)</f>
        <v>-0.01</v>
      </c>
      <c r="N39" s="61" t="s">
        <v>108</v>
      </c>
      <c r="O39" s="28"/>
      <c r="P39" s="28"/>
      <c r="Q39" s="28"/>
    </row>
    <row r="40" ht="40" customHeight="1" spans="1:17">
      <c r="A40" s="33">
        <v>7.7</v>
      </c>
      <c r="B40" s="34" t="s">
        <v>70</v>
      </c>
      <c r="C40" s="24"/>
      <c r="D40" s="24"/>
      <c r="E40" s="24"/>
      <c r="F40" s="24">
        <f>F41+F42+F43+F44</f>
        <v>52.03</v>
      </c>
      <c r="G40" s="24">
        <f t="shared" si="6"/>
        <v>52.03</v>
      </c>
      <c r="H40" s="24"/>
      <c r="I40" s="24"/>
      <c r="J40" s="24"/>
      <c r="K40" s="24">
        <f>SUM(K41:K44)</f>
        <v>55.1</v>
      </c>
      <c r="L40" s="24">
        <f t="shared" si="7"/>
        <v>55.1</v>
      </c>
      <c r="M40" s="24">
        <f t="shared" si="9"/>
        <v>3.07</v>
      </c>
      <c r="N40" s="56" t="s">
        <v>71</v>
      </c>
      <c r="O40" s="28"/>
      <c r="P40" s="28"/>
      <c r="Q40" s="28"/>
    </row>
    <row r="41" ht="39" customHeight="1" spans="1:17">
      <c r="A41" s="33" t="s">
        <v>72</v>
      </c>
      <c r="B41" s="34" t="s">
        <v>73</v>
      </c>
      <c r="C41" s="24"/>
      <c r="D41" s="24"/>
      <c r="E41" s="24"/>
      <c r="F41" s="24">
        <v>3.74</v>
      </c>
      <c r="G41" s="24">
        <f t="shared" si="6"/>
        <v>3.74</v>
      </c>
      <c r="H41" s="24"/>
      <c r="I41" s="24"/>
      <c r="J41" s="24"/>
      <c r="K41" s="24">
        <f>概算汇总表!G41</f>
        <v>3.98</v>
      </c>
      <c r="L41" s="24">
        <f t="shared" si="7"/>
        <v>3.98</v>
      </c>
      <c r="M41" s="24">
        <f t="shared" si="9"/>
        <v>0.24</v>
      </c>
      <c r="N41" s="34"/>
      <c r="O41" s="28"/>
      <c r="P41" s="28"/>
      <c r="Q41" s="28"/>
    </row>
    <row r="42" ht="32" customHeight="1" spans="1:17">
      <c r="A42" s="33" t="s">
        <v>74</v>
      </c>
      <c r="B42" s="34" t="s">
        <v>75</v>
      </c>
      <c r="C42" s="24"/>
      <c r="D42" s="24"/>
      <c r="E42" s="24"/>
      <c r="F42" s="24">
        <v>9.26</v>
      </c>
      <c r="G42" s="24">
        <f t="shared" si="6"/>
        <v>9.26</v>
      </c>
      <c r="H42" s="24"/>
      <c r="I42" s="24"/>
      <c r="J42" s="24"/>
      <c r="K42" s="24">
        <f>概算汇总表!G42</f>
        <v>9.82</v>
      </c>
      <c r="L42" s="24">
        <f t="shared" si="7"/>
        <v>9.82</v>
      </c>
      <c r="M42" s="24">
        <f t="shared" si="9"/>
        <v>0.56</v>
      </c>
      <c r="N42" s="34"/>
      <c r="O42" s="28"/>
      <c r="P42" s="28"/>
      <c r="Q42" s="28"/>
    </row>
    <row r="43" ht="32" customHeight="1" spans="1:17">
      <c r="A43" s="33" t="s">
        <v>76</v>
      </c>
      <c r="B43" s="34" t="s">
        <v>77</v>
      </c>
      <c r="C43" s="24"/>
      <c r="D43" s="24"/>
      <c r="E43" s="24"/>
      <c r="F43" s="24">
        <v>9.26</v>
      </c>
      <c r="G43" s="24">
        <f t="shared" si="6"/>
        <v>9.26</v>
      </c>
      <c r="H43" s="24"/>
      <c r="I43" s="24"/>
      <c r="J43" s="24"/>
      <c r="K43" s="24">
        <f>概算汇总表!G43</f>
        <v>9.82</v>
      </c>
      <c r="L43" s="24">
        <f t="shared" si="7"/>
        <v>9.82</v>
      </c>
      <c r="M43" s="24">
        <f t="shared" si="9"/>
        <v>0.56</v>
      </c>
      <c r="N43" s="34"/>
      <c r="O43" s="28"/>
      <c r="P43" s="28"/>
      <c r="Q43" s="28"/>
    </row>
    <row r="44" ht="32" customHeight="1" spans="1:17">
      <c r="A44" s="33" t="s">
        <v>78</v>
      </c>
      <c r="B44" s="34" t="s">
        <v>79</v>
      </c>
      <c r="C44" s="24"/>
      <c r="D44" s="24"/>
      <c r="E44" s="24"/>
      <c r="F44" s="24">
        <v>29.77</v>
      </c>
      <c r="G44" s="24">
        <f t="shared" si="6"/>
        <v>29.77</v>
      </c>
      <c r="H44" s="24"/>
      <c r="I44" s="24"/>
      <c r="J44" s="24"/>
      <c r="K44" s="24">
        <f>概算汇总表!G44</f>
        <v>31.48</v>
      </c>
      <c r="L44" s="24">
        <f t="shared" si="7"/>
        <v>31.48</v>
      </c>
      <c r="M44" s="24">
        <f t="shared" si="9"/>
        <v>1.71</v>
      </c>
      <c r="N44" s="34"/>
      <c r="O44" s="28"/>
      <c r="P44" s="28"/>
      <c r="Q44" s="28"/>
    </row>
    <row r="45" ht="25.5" customHeight="1" spans="1:17">
      <c r="A45" s="33">
        <v>7.8</v>
      </c>
      <c r="B45" s="34" t="s">
        <v>80</v>
      </c>
      <c r="C45" s="24"/>
      <c r="D45" s="24"/>
      <c r="E45" s="24"/>
      <c r="F45" s="24">
        <v>15</v>
      </c>
      <c r="G45" s="24">
        <f t="shared" si="6"/>
        <v>15</v>
      </c>
      <c r="H45" s="24"/>
      <c r="I45" s="24"/>
      <c r="J45" s="24"/>
      <c r="K45" s="24">
        <f>概算汇总表!G45</f>
        <v>6.5</v>
      </c>
      <c r="L45" s="24">
        <f t="shared" si="7"/>
        <v>6.5</v>
      </c>
      <c r="M45" s="24">
        <f t="shared" si="9"/>
        <v>-8.5</v>
      </c>
      <c r="N45" s="56" t="s">
        <v>81</v>
      </c>
      <c r="O45" s="28"/>
      <c r="P45" s="28"/>
      <c r="Q45" s="28"/>
    </row>
    <row r="46" ht="41" customHeight="1" spans="1:17">
      <c r="A46" s="33">
        <v>8</v>
      </c>
      <c r="B46" s="34" t="s">
        <v>82</v>
      </c>
      <c r="C46" s="24"/>
      <c r="D46" s="24"/>
      <c r="E46" s="24"/>
      <c r="F46" s="24">
        <v>15.9</v>
      </c>
      <c r="G46" s="24">
        <f t="shared" si="6"/>
        <v>15.9</v>
      </c>
      <c r="H46" s="24"/>
      <c r="I46" s="24"/>
      <c r="J46" s="24"/>
      <c r="K46" s="24">
        <f>概算汇总表!G46</f>
        <v>14.16</v>
      </c>
      <c r="L46" s="24">
        <f t="shared" si="7"/>
        <v>14.16</v>
      </c>
      <c r="M46" s="24">
        <f t="shared" si="9"/>
        <v>-1.74</v>
      </c>
      <c r="N46" s="56" t="s">
        <v>83</v>
      </c>
      <c r="O46" s="28"/>
      <c r="P46" s="28"/>
      <c r="Q46" s="28"/>
    </row>
    <row r="47" ht="41" customHeight="1" spans="1:17">
      <c r="A47" s="33">
        <v>9</v>
      </c>
      <c r="B47" s="34" t="s">
        <v>84</v>
      </c>
      <c r="C47" s="24"/>
      <c r="D47" s="24"/>
      <c r="E47" s="24"/>
      <c r="F47" s="24">
        <v>0</v>
      </c>
      <c r="G47" s="24">
        <f t="shared" si="6"/>
        <v>0</v>
      </c>
      <c r="H47" s="24"/>
      <c r="I47" s="24"/>
      <c r="J47" s="24"/>
      <c r="K47" s="24">
        <f>概算汇总表!G47</f>
        <v>23.6</v>
      </c>
      <c r="L47" s="24">
        <f t="shared" si="7"/>
        <v>23.6</v>
      </c>
      <c r="M47" s="24">
        <f t="shared" si="9"/>
        <v>23.6</v>
      </c>
      <c r="N47" s="56" t="s">
        <v>85</v>
      </c>
      <c r="O47" s="28"/>
      <c r="P47" s="28"/>
      <c r="Q47" s="28"/>
    </row>
    <row r="48" ht="41" customHeight="1" spans="1:17">
      <c r="A48" s="33">
        <v>10</v>
      </c>
      <c r="B48" s="36" t="s">
        <v>86</v>
      </c>
      <c r="C48" s="24"/>
      <c r="D48" s="24"/>
      <c r="E48" s="24"/>
      <c r="F48" s="24">
        <v>12.65</v>
      </c>
      <c r="G48" s="24">
        <f t="shared" si="6"/>
        <v>12.65</v>
      </c>
      <c r="H48" s="24"/>
      <c r="I48" s="24"/>
      <c r="J48" s="24"/>
      <c r="K48" s="24">
        <f>概算汇总表!G48</f>
        <v>8.5</v>
      </c>
      <c r="L48" s="24">
        <f t="shared" si="7"/>
        <v>8.5</v>
      </c>
      <c r="M48" s="24">
        <f t="shared" si="9"/>
        <v>-4.15</v>
      </c>
      <c r="N48" s="56" t="s">
        <v>87</v>
      </c>
      <c r="O48" s="28"/>
      <c r="P48" s="28"/>
      <c r="Q48" s="28"/>
    </row>
    <row r="49" ht="25.5" customHeight="1" spans="1:17">
      <c r="A49" s="33">
        <v>11</v>
      </c>
      <c r="B49" s="34" t="s">
        <v>109</v>
      </c>
      <c r="C49" s="24"/>
      <c r="D49" s="24"/>
      <c r="E49" s="24"/>
      <c r="F49" s="24">
        <v>6.5</v>
      </c>
      <c r="G49" s="24">
        <f t="shared" si="6"/>
        <v>6.5</v>
      </c>
      <c r="H49" s="24"/>
      <c r="I49" s="24"/>
      <c r="J49" s="24"/>
      <c r="K49" s="24">
        <v>0</v>
      </c>
      <c r="L49" s="24">
        <f t="shared" si="7"/>
        <v>0</v>
      </c>
      <c r="M49" s="24">
        <f t="shared" si="9"/>
        <v>-6.5</v>
      </c>
      <c r="N49" s="34"/>
      <c r="O49" s="28"/>
      <c r="P49" s="28"/>
      <c r="Q49" s="28"/>
    </row>
    <row r="50" s="1" customFormat="1" ht="25.5" customHeight="1" spans="1:17">
      <c r="A50" s="31" t="s">
        <v>88</v>
      </c>
      <c r="B50" s="32" t="s">
        <v>89</v>
      </c>
      <c r="C50" s="19"/>
      <c r="D50" s="19"/>
      <c r="E50" s="19"/>
      <c r="F50" s="19">
        <f>F51</f>
        <v>20</v>
      </c>
      <c r="G50" s="19">
        <f t="shared" si="6"/>
        <v>20</v>
      </c>
      <c r="H50" s="19"/>
      <c r="I50" s="19"/>
      <c r="J50" s="19"/>
      <c r="K50" s="19">
        <f>K51</f>
        <v>20</v>
      </c>
      <c r="L50" s="19">
        <f>ROUND(SUM(H50:K50),2)</f>
        <v>20</v>
      </c>
      <c r="M50" s="19">
        <f t="shared" si="9"/>
        <v>0</v>
      </c>
      <c r="N50" s="32"/>
      <c r="O50" s="52"/>
      <c r="P50" s="52"/>
      <c r="Q50" s="52"/>
    </row>
    <row r="51" ht="25.5" customHeight="1" spans="1:17">
      <c r="A51" s="33">
        <v>1</v>
      </c>
      <c r="B51" s="34" t="s">
        <v>90</v>
      </c>
      <c r="C51" s="24"/>
      <c r="D51" s="24"/>
      <c r="E51" s="24"/>
      <c r="F51" s="24">
        <v>20</v>
      </c>
      <c r="G51" s="24">
        <f t="shared" si="6"/>
        <v>20</v>
      </c>
      <c r="H51" s="24"/>
      <c r="I51" s="24"/>
      <c r="J51" s="24"/>
      <c r="K51" s="24">
        <f>概算汇总表!G50</f>
        <v>20</v>
      </c>
      <c r="L51" s="24">
        <f>SUM(H51:K51)</f>
        <v>20</v>
      </c>
      <c r="M51" s="24">
        <f t="shared" si="9"/>
        <v>0</v>
      </c>
      <c r="N51" s="61" t="s">
        <v>110</v>
      </c>
      <c r="O51" s="28"/>
      <c r="P51" s="28"/>
      <c r="Q51" s="28"/>
    </row>
    <row r="52" s="1" customFormat="1" ht="25.5" customHeight="1" spans="1:17">
      <c r="A52" s="31" t="s">
        <v>92</v>
      </c>
      <c r="B52" s="32" t="s">
        <v>93</v>
      </c>
      <c r="C52" s="19"/>
      <c r="D52" s="19"/>
      <c r="E52" s="19"/>
      <c r="F52" s="19">
        <f>F53</f>
        <v>284.98</v>
      </c>
      <c r="G52" s="19">
        <f t="shared" si="6"/>
        <v>284.98</v>
      </c>
      <c r="H52" s="19"/>
      <c r="I52" s="19"/>
      <c r="J52" s="19"/>
      <c r="K52" s="19">
        <f>K53</f>
        <v>254.59</v>
      </c>
      <c r="L52" s="19">
        <f>ROUND(SUM(H52:K52),2)</f>
        <v>254.59</v>
      </c>
      <c r="M52" s="19">
        <f t="shared" si="9"/>
        <v>-30.39</v>
      </c>
      <c r="N52" s="32"/>
      <c r="O52" s="52"/>
      <c r="P52" s="52"/>
      <c r="Q52" s="52"/>
    </row>
    <row r="53" ht="39" customHeight="1" spans="1:17">
      <c r="A53" s="33">
        <v>1</v>
      </c>
      <c r="B53" s="34" t="s">
        <v>94</v>
      </c>
      <c r="C53" s="24"/>
      <c r="D53" s="24"/>
      <c r="E53" s="24"/>
      <c r="F53" s="24">
        <v>284.98</v>
      </c>
      <c r="G53" s="24">
        <f t="shared" si="6"/>
        <v>284.98</v>
      </c>
      <c r="H53" s="24"/>
      <c r="I53" s="24"/>
      <c r="J53" s="24"/>
      <c r="K53" s="24">
        <f>概算汇总表!G52</f>
        <v>254.59</v>
      </c>
      <c r="L53" s="24">
        <f>SUM(H53:K53)</f>
        <v>254.59</v>
      </c>
      <c r="M53" s="24">
        <f t="shared" si="9"/>
        <v>-30.39</v>
      </c>
      <c r="N53" s="56" t="s">
        <v>95</v>
      </c>
      <c r="O53" s="28"/>
      <c r="P53" s="28"/>
      <c r="Q53" s="28"/>
    </row>
    <row r="54" s="1" customFormat="1" ht="25.5" customHeight="1" spans="1:18">
      <c r="A54" s="31" t="s">
        <v>96</v>
      </c>
      <c r="B54" s="32" t="s">
        <v>97</v>
      </c>
      <c r="C54" s="19">
        <f>C5</f>
        <v>4317.94</v>
      </c>
      <c r="D54" s="19">
        <f>D5</f>
        <v>983.59</v>
      </c>
      <c r="E54" s="19">
        <v>0</v>
      </c>
      <c r="F54" s="19">
        <f>F22+F52</f>
        <v>682.98</v>
      </c>
      <c r="G54" s="19">
        <f>ROUND(SUM(C54:F54),2)+0.01</f>
        <v>5984.52</v>
      </c>
      <c r="H54" s="19">
        <f>H5</f>
        <v>3734.34</v>
      </c>
      <c r="I54" s="19">
        <f>I5</f>
        <v>984.84</v>
      </c>
      <c r="J54" s="19">
        <v>0</v>
      </c>
      <c r="K54" s="19">
        <f>K22+K52</f>
        <v>627.15</v>
      </c>
      <c r="L54" s="19">
        <f>SUM(H54:K54)</f>
        <v>5346.33</v>
      </c>
      <c r="M54" s="19">
        <f t="shared" si="9"/>
        <v>-638.19</v>
      </c>
      <c r="N54" s="32"/>
      <c r="O54" s="52"/>
      <c r="P54" s="52"/>
      <c r="Q54" s="52"/>
      <c r="R54" s="1">
        <f>M54/G54</f>
        <v>-0.106640131539372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O1"/>
    <mergeCell ref="C3:G3"/>
    <mergeCell ref="H3:L3"/>
    <mergeCell ref="O3:Q3"/>
    <mergeCell ref="A3:A4"/>
    <mergeCell ref="B3:B4"/>
    <mergeCell ref="C20:C21"/>
    <mergeCell ref="F30:F31"/>
    <mergeCell ref="G30:G31"/>
    <mergeCell ref="M3:M4"/>
    <mergeCell ref="N3:N4"/>
  </mergeCells>
  <pageMargins left="0.75" right="0.75" top="1" bottom="1" header="0.5" footer="0.5"/>
  <pageSetup paperSize="9" scale="52" orientation="landscape"/>
  <headerFooter/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8 " / > < p i x e l a t o r L i s t   s h e e t S t i d = " 5 " / > < p i x e l a t o r L i s t   s h e e t S t i d = " 6 " / > < p i x e l a t o r L i s t   s h e e t S t i d = " 7 " / > < p i x e l a t o r L i s t   s h e e t S t i d = " 1 0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WWO_wpscloud_20241113211456-55c44f69b6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概算汇总表</vt:lpstr>
      <vt:lpstr>概算对比分析表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懂你</cp:lastModifiedBy>
  <dcterms:created xsi:type="dcterms:W3CDTF">2018-06-07T16:28:00Z</dcterms:created>
  <dcterms:modified xsi:type="dcterms:W3CDTF">2024-12-25T08:28:19Z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CCB650B8AEF74581949C23F652F58C78_12</vt:lpwstr>
  </property>
</Properties>
</file>