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概算对比表" sheetId="1" r:id="rId1"/>
    <sheet name="对比表" sheetId="3" state="hidden" r:id="rId2"/>
  </sheets>
  <definedNames>
    <definedName name="_xlnm.Print_Area" localSheetId="0">概算对比表!$A$1:$F$48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<sst xmlns="http://schemas.openxmlformats.org/spreadsheetml/2006/main" count="111" uniqueCount="76">
  <si>
    <t>概算对比表</t>
  </si>
  <si>
    <t>工程名称：大足高新区雨水管网改造工程(二标段)</t>
  </si>
  <si>
    <t>序号</t>
  </si>
  <si>
    <t>工程或费用名称</t>
  </si>
  <si>
    <t>概算造价（万元）</t>
  </si>
  <si>
    <t>备注</t>
  </si>
  <si>
    <t>送审金额</t>
  </si>
  <si>
    <t>审核金额</t>
  </si>
  <si>
    <t>审（增）减金额</t>
  </si>
  <si>
    <t>一</t>
  </si>
  <si>
    <t>工程费用</t>
  </si>
  <si>
    <t>（一）</t>
  </si>
  <si>
    <t>龙水镇</t>
  </si>
  <si>
    <t>道路工程</t>
  </si>
  <si>
    <t>排水工程</t>
  </si>
  <si>
    <t>交通工程</t>
  </si>
  <si>
    <t>（二）</t>
  </si>
  <si>
    <t>万古镇</t>
  </si>
  <si>
    <t>（三）</t>
  </si>
  <si>
    <t>三驱镇</t>
  </si>
  <si>
    <t>污水干管</t>
  </si>
  <si>
    <t>二</t>
  </si>
  <si>
    <t>工程建设其他费用</t>
  </si>
  <si>
    <t>㈠</t>
  </si>
  <si>
    <t>项目建设用地费用</t>
  </si>
  <si>
    <t>㈡</t>
  </si>
  <si>
    <t>与项目建设有关的其他费用</t>
  </si>
  <si>
    <t>场地准备费及临时设施费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</si>
  <si>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年概算编制办法</t>
    </r>
  </si>
  <si>
    <t>项目建设管理费</t>
  </si>
  <si>
    <t>工程建设监理费</t>
  </si>
  <si>
    <t>工程招标代理服务费</t>
  </si>
  <si>
    <t>招标交易服务费</t>
  </si>
  <si>
    <t>前期工作费</t>
  </si>
  <si>
    <t>可研编制和评估费</t>
  </si>
  <si>
    <t>根据已提供合同资料计算</t>
  </si>
  <si>
    <t>环境影响评价费</t>
  </si>
  <si>
    <t>地质灾害危险性评估费</t>
  </si>
  <si>
    <t>社会稳定风险评估费</t>
  </si>
  <si>
    <t>前期调研</t>
  </si>
  <si>
    <t>根据已提供合同资料扣减一标段计算</t>
  </si>
  <si>
    <t>排水管网排查</t>
  </si>
  <si>
    <t>工程勘察费</t>
  </si>
  <si>
    <t>工程设计费</t>
  </si>
  <si>
    <t>咨询费</t>
  </si>
  <si>
    <t>设计咨询费(含施工图审查费）</t>
  </si>
  <si>
    <t>工程量清单及组价编制及审核费</t>
  </si>
  <si>
    <t>施工阶段工程造价全过程控制费</t>
  </si>
  <si>
    <r>
      <rPr>
        <sz val="9"/>
        <rFont val="宋体"/>
        <charset val="134"/>
      </rPr>
      <t>渝价【</t>
    </r>
    <r>
      <rPr>
        <sz val="9"/>
        <rFont val="Times New Roman"/>
        <charset val="134"/>
      </rPr>
      <t>2013</t>
    </r>
    <r>
      <rPr>
        <sz val="9"/>
        <rFont val="宋体"/>
        <charset val="134"/>
      </rPr>
      <t>】</t>
    </r>
    <r>
      <rPr>
        <sz val="9"/>
        <rFont val="Times New Roman"/>
        <charset val="134"/>
      </rPr>
      <t>428</t>
    </r>
    <r>
      <rPr>
        <sz val="9"/>
        <rFont val="宋体"/>
        <charset val="134"/>
      </rPr>
      <t>号文</t>
    </r>
  </si>
  <si>
    <t>工程保险费</t>
  </si>
  <si>
    <t>安全生产保障费</t>
  </si>
  <si>
    <t>水土保持补偿费</t>
  </si>
  <si>
    <r>
      <rPr>
        <sz val="9"/>
        <rFont val="宋体"/>
        <charset val="134"/>
      </rPr>
      <t>渝价【</t>
    </r>
    <r>
      <rPr>
        <sz val="9"/>
        <rFont val="Times New Roman"/>
        <charset val="134"/>
      </rPr>
      <t>2017</t>
    </r>
    <r>
      <rPr>
        <sz val="9"/>
        <rFont val="宋体"/>
        <charset val="134"/>
      </rPr>
      <t>】</t>
    </r>
    <r>
      <rPr>
        <sz val="9"/>
        <rFont val="Times New Roman"/>
        <charset val="134"/>
      </rPr>
      <t>81</t>
    </r>
    <r>
      <rPr>
        <sz val="9"/>
        <rFont val="宋体"/>
        <charset val="134"/>
      </rPr>
      <t>号文</t>
    </r>
  </si>
  <si>
    <t>城市道路占用挖掘及市政设施损坏补偿费</t>
  </si>
  <si>
    <t>渝价【2009】442号</t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</si>
  <si>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</si>
  <si>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</si>
  <si>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</si>
  <si>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)*3%</t>
    </r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</si>
  <si>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~</t>
    </r>
    <r>
      <rPr>
        <b/>
        <sz val="10"/>
        <rFont val="宋体"/>
        <charset val="134"/>
      </rPr>
      <t>三合计</t>
    </r>
  </si>
  <si>
    <t>四</t>
  </si>
  <si>
    <t>建设期贷款利息</t>
  </si>
  <si>
    <t>不计</t>
  </si>
  <si>
    <t>五</t>
  </si>
  <si>
    <t>建设项目概算总投资</t>
  </si>
  <si>
    <t>一+二+三+四</t>
  </si>
  <si>
    <t>可研批复金额（万元）</t>
  </si>
  <si>
    <t>概算送审金额（万元）</t>
  </si>
  <si>
    <t>概算与可研批复差额（万元）</t>
  </si>
  <si>
    <t>比可研批复增(减)比例</t>
  </si>
  <si>
    <t>建筑安装工程费</t>
  </si>
  <si>
    <t>学府二路段</t>
  </si>
  <si>
    <t>峡谷公园段</t>
  </si>
  <si>
    <t>工程建设其他费</t>
  </si>
  <si>
    <t>可研按8%计算，概算按5%计算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</si>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</sst>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0"/>
      <color rgb="FF000000"/>
      <name val="Times New Roman"/>
      <charset val="204"/>
    </font>
    <font>
      <sz val="11"/>
      <color rgb="FF000000"/>
      <name val="宋体"/>
      <charset val="134"/>
    </font>
    <font>
      <sz val="10"/>
      <name val="Times New Roman"/>
      <charset val="204"/>
    </font>
    <font>
      <sz val="10.5"/>
      <name val="Times New Roman"/>
      <charset val="204"/>
    </font>
    <font>
      <sz val="9"/>
      <name val="Times New Roman"/>
      <charset val="204"/>
    </font>
    <font>
      <b/>
      <sz val="9"/>
      <name val="Times New Roman"/>
      <charset val="20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top"/>
    </xf>
    <xf numFmtId="176" fontId="3" fillId="0" borderId="0" xfId="0" applyNumberFormat="1" applyFont="1" applyFill="1" applyBorder="1" applyAlignment="1">
      <alignment horizontal="left" vertical="top"/>
    </xf>
    <xf numFmtId="176" fontId="4" fillId="0" borderId="0" xfId="0" applyNumberFormat="1" applyFont="1" applyFill="1" applyBorder="1" applyAlignment="1">
      <alignment horizontal="left" vertical="top"/>
    </xf>
    <xf numFmtId="176" fontId="5" fillId="0" borderId="0" xfId="0" applyNumberFormat="1" applyFont="1" applyFill="1" applyBorder="1" applyAlignment="1">
      <alignment horizontal="left" vertical="top"/>
    </xf>
    <xf numFmtId="177" fontId="2" fillId="0" borderId="0" xfId="0" applyNumberFormat="1" applyFont="1" applyFill="1" applyBorder="1" applyAlignment="1">
      <alignment horizontal="center" vertical="top"/>
    </xf>
    <xf numFmtId="176" fontId="2" fillId="0" borderId="0" xfId="0" applyNumberFormat="1" applyFont="1" applyFill="1" applyBorder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 indent="4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 indent="4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20320</xdr:colOff>
      <xdr:row>19</xdr:row>
      <xdr:rowOff>43180</xdr:rowOff>
    </xdr:to>
    <xdr:grpSp>
      <xdr:nvGrpSpPr>
        <xdr:cNvPr id="2" name="Group 2"/>
        <xdr:cNvGrpSpPr/>
      </xdr:nvGrpSpPr>
      <xdr:grpSpPr>
        <a:xfrm>
          <a:off x="0" y="6121400"/>
          <a:ext cx="20320" cy="43180"/>
          <a:chOff x="0" y="0"/>
          <a:chExt cx="20320" cy="43180"/>
        </a:xfrm>
      </xdr:grpSpPr>
      <xdr:pic>
        <xdr:nvPicPr>
          <xdr:cNvPr id="3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4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5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6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7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8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6223</xdr:colOff>
      <xdr:row>18</xdr:row>
      <xdr:rowOff>6096</xdr:rowOff>
    </xdr:from>
    <xdr:to>
      <xdr:col>1</xdr:col>
      <xdr:colOff>26035</xdr:colOff>
      <xdr:row>18</xdr:row>
      <xdr:rowOff>21336</xdr:rowOff>
    </xdr:to>
    <xdr:pic>
      <xdr:nvPicPr>
        <xdr:cNvPr id="9" name="image2.png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040" y="5809615"/>
          <a:ext cx="20320" cy="15240"/>
        </a:xfrm>
        <a:prstGeom prst="rect">
          <a:avLst/>
        </a:prstGeom>
      </xdr:spPr>
    </xdr:pic>
    <xdr:clientData/>
  </xdr:twoCellAnchor>
  <xdr:twoCellAnchor editAs="oneCell">
    <xdr:from>
      <xdr:col>0</xdr:col>
      <xdr:colOff>559308</xdr:colOff>
      <xdr:row>19</xdr:row>
      <xdr:rowOff>6096</xdr:rowOff>
    </xdr:from>
    <xdr:to>
      <xdr:col>1</xdr:col>
      <xdr:colOff>57912</xdr:colOff>
      <xdr:row>20</xdr:row>
      <xdr:rowOff>288035</xdr:rowOff>
    </xdr:to>
    <xdr:grpSp>
      <xdr:nvGrpSpPr>
        <xdr:cNvPr id="10" name="Group 10"/>
        <xdr:cNvGrpSpPr/>
      </xdr:nvGrpSpPr>
      <xdr:grpSpPr>
        <a:xfrm>
          <a:off x="441325" y="6127115"/>
          <a:ext cx="57785" cy="599440"/>
          <a:chOff x="0" y="0"/>
          <a:chExt cx="20320" cy="601980"/>
        </a:xfrm>
      </xdr:grpSpPr>
      <xdr:pic>
        <xdr:nvPicPr>
          <xdr:cNvPr id="11" name="image3.png"/>
          <xdr:cNvPicPr>
            <a:picLocks noChangeAspect="1"/>
          </xdr:cNvPicPr>
        </xdr:nvPicPr>
        <xdr:blipFill>
          <a:blip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521208"/>
          </a:xfrm>
          <a:prstGeom prst="rect">
            <a:avLst/>
          </a:prstGeom>
        </xdr:spPr>
      </xdr:pic>
      <xdr:pic>
        <xdr:nvPicPr>
          <xdr:cNvPr id="12" name="image4.png"/>
          <xdr:cNvPicPr>
            <a:picLocks noChangeAspect="1"/>
          </xdr:cNvPicPr>
        </xdr:nvPicPr>
        <xdr:blipFill>
          <a:blip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1459"/>
            <a:ext cx="19812" cy="35052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323215</xdr:colOff>
      <xdr:row>20</xdr:row>
      <xdr:rowOff>149860</xdr:rowOff>
    </xdr:from>
    <xdr:to>
      <xdr:col>0</xdr:col>
      <xdr:colOff>329057</xdr:colOff>
      <xdr:row>22</xdr:row>
      <xdr:rowOff>217362</xdr:rowOff>
    </xdr:to>
    <xdr:grpSp>
      <xdr:nvGrpSpPr>
        <xdr:cNvPr id="13" name="Group 10"/>
        <xdr:cNvGrpSpPr/>
      </xdr:nvGrpSpPr>
      <xdr:grpSpPr>
        <a:xfrm>
          <a:off x="323215" y="6588760"/>
          <a:ext cx="5715" cy="702310"/>
          <a:chOff x="0" y="0"/>
          <a:chExt cx="20320" cy="601980"/>
        </a:xfrm>
      </xdr:grpSpPr>
      <xdr:pic>
        <xdr:nvPicPr>
          <xdr:cNvPr id="14" name="image3.png"/>
          <xdr:cNvPicPr>
            <a:picLocks noChangeAspect="1"/>
          </xdr:cNvPicPr>
        </xdr:nvPicPr>
        <xdr:blipFill>
          <a:blip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521208"/>
          </a:xfrm>
          <a:prstGeom prst="rect">
            <a:avLst/>
          </a:prstGeom>
        </xdr:spPr>
      </xdr:pic>
      <xdr:pic>
        <xdr:nvPicPr>
          <xdr:cNvPr id="15" name="image4.png"/>
          <xdr:cNvPicPr>
            <a:picLocks noChangeAspect="1"/>
          </xdr:cNvPicPr>
        </xdr:nvPicPr>
        <xdr:blipFill>
          <a:blip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1459"/>
            <a:ext cx="19812" cy="3505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view="pageBreakPreview" zoomScale="110" zoomScaleNormal="100" workbookViewId="0">
      <pane ySplit="4" topLeftCell="A36" activePane="bottomLeft" state="frozen"/>
      <selection/>
      <selection pane="bottomLeft" activeCell="E44" sqref="E44"/>
    </sheetView>
  </sheetViews>
  <sheetFormatPr defaultColWidth="9" defaultRowHeight="12.75" outlineLevelCol="5"/>
  <cols>
    <col min="1" max="1" width="7.72222222222222" style="20" customWidth="1"/>
    <col min="2" max="2" width="37.1111111111111" style="21" customWidth="1"/>
    <col min="3" max="3" width="19.1111111111111" style="22" customWidth="1"/>
    <col min="4" max="4" width="25" style="22" customWidth="1"/>
    <col min="5" max="5" width="22.3333333333333" style="22" customWidth="1"/>
    <col min="6" max="6" width="23.7777777777778" style="22" customWidth="1"/>
    <col min="7" max="10" width="9" style="16"/>
    <col min="11" max="11" width="14.3333333333333" style="16"/>
    <col min="12" max="12" width="9" style="16"/>
    <col min="13" max="13" width="10.1666666666667" style="16"/>
    <col min="14" max="16384" width="9" style="16"/>
  </cols>
  <sheetData>
    <row r="1" ht="41" customHeight="1" spans="1:6">
      <c r="A1" s="23" t="s">
        <v>0</v>
      </c>
      <c r="B1" s="24"/>
      <c r="C1" s="24"/>
      <c r="D1" s="24"/>
      <c r="E1" s="24"/>
      <c r="F1" s="24"/>
    </row>
    <row r="2" ht="18" customHeight="1" spans="1:6">
      <c r="A2" s="25" t="s">
        <v>1</v>
      </c>
      <c r="B2" s="26"/>
      <c r="C2" s="26"/>
      <c r="D2" s="26"/>
      <c r="E2" s="26"/>
      <c r="F2" s="26"/>
    </row>
    <row r="3" s="16" customFormat="1" ht="22" customHeight="1" spans="1:6">
      <c r="A3" s="27" t="s">
        <v>2</v>
      </c>
      <c r="B3" s="28" t="s">
        <v>3</v>
      </c>
      <c r="C3" s="29" t="s">
        <v>4</v>
      </c>
      <c r="D3" s="30"/>
      <c r="E3" s="31"/>
      <c r="F3" s="32" t="s">
        <v>5</v>
      </c>
    </row>
    <row r="4" s="16" customFormat="1" ht="26" customHeight="1" spans="1:6">
      <c r="A4" s="33"/>
      <c r="B4" s="34"/>
      <c r="C4" s="32" t="s">
        <v>6</v>
      </c>
      <c r="D4" s="29" t="s">
        <v>7</v>
      </c>
      <c r="E4" s="32" t="s">
        <v>8</v>
      </c>
      <c r="F4" s="35"/>
    </row>
    <row r="5" s="17" customFormat="1" ht="25" customHeight="1" spans="1:6">
      <c r="A5" s="36" t="s">
        <v>9</v>
      </c>
      <c r="B5" s="37" t="s">
        <v>10</v>
      </c>
      <c r="C5" s="38">
        <f>C6+C10+C14</f>
        <v>4797.71</v>
      </c>
      <c r="D5" s="38">
        <f>D6+D10+D14</f>
        <v>4613.72</v>
      </c>
      <c r="E5" s="38">
        <f>D5-C5</f>
        <v>-183.99</v>
      </c>
      <c r="F5" s="39"/>
    </row>
    <row r="6" s="17" customFormat="1" ht="25" customHeight="1" spans="1:6">
      <c r="A6" s="40" t="s">
        <v>11</v>
      </c>
      <c r="B6" s="41" t="s">
        <v>12</v>
      </c>
      <c r="C6" s="42">
        <f>C7+C8+C9</f>
        <v>934.9</v>
      </c>
      <c r="D6" s="42">
        <f>D7+D8+D9</f>
        <v>890.78</v>
      </c>
      <c r="E6" s="42">
        <f t="shared" ref="E6:E14" si="0">D6-C6</f>
        <v>-44.12</v>
      </c>
      <c r="F6" s="39"/>
    </row>
    <row r="7" s="17" customFormat="1" ht="25" customHeight="1" spans="1:6">
      <c r="A7" s="27">
        <v>1</v>
      </c>
      <c r="B7" s="41" t="s">
        <v>13</v>
      </c>
      <c r="C7" s="42">
        <v>274.03</v>
      </c>
      <c r="D7" s="42">
        <v>269.48</v>
      </c>
      <c r="E7" s="42">
        <f t="shared" ref="E5:E8" si="1">D7-C7</f>
        <v>-4.55</v>
      </c>
      <c r="F7" s="39"/>
    </row>
    <row r="8" s="17" customFormat="1" ht="25" customHeight="1" spans="1:6">
      <c r="A8" s="27">
        <v>2</v>
      </c>
      <c r="B8" s="41" t="s">
        <v>14</v>
      </c>
      <c r="C8" s="42">
        <v>581.14</v>
      </c>
      <c r="D8" s="42">
        <v>544.69</v>
      </c>
      <c r="E8" s="42">
        <f t="shared" si="1"/>
        <v>-36.45</v>
      </c>
      <c r="F8" s="39"/>
    </row>
    <row r="9" s="17" customFormat="1" ht="25" customHeight="1" spans="1:6">
      <c r="A9" s="27">
        <v>3</v>
      </c>
      <c r="B9" s="41" t="s">
        <v>15</v>
      </c>
      <c r="C9" s="42">
        <v>79.73</v>
      </c>
      <c r="D9" s="42">
        <v>76.61</v>
      </c>
      <c r="E9" s="42">
        <f t="shared" si="0"/>
        <v>-3.12</v>
      </c>
      <c r="F9" s="43"/>
    </row>
    <row r="10" s="17" customFormat="1" ht="25" customHeight="1" spans="1:6">
      <c r="A10" s="27" t="s">
        <v>16</v>
      </c>
      <c r="B10" s="41" t="s">
        <v>17</v>
      </c>
      <c r="C10" s="42">
        <f>C11+C12+C13</f>
        <v>1128.84</v>
      </c>
      <c r="D10" s="42">
        <f>D11+D12+D13</f>
        <v>1059.64</v>
      </c>
      <c r="E10" s="42">
        <f t="shared" si="0"/>
        <v>-69.2</v>
      </c>
      <c r="F10" s="43"/>
    </row>
    <row r="11" s="17" customFormat="1" ht="25" customHeight="1" spans="1:6">
      <c r="A11" s="27">
        <v>1</v>
      </c>
      <c r="B11" s="41" t="s">
        <v>13</v>
      </c>
      <c r="C11" s="42">
        <v>445.48</v>
      </c>
      <c r="D11" s="42">
        <v>439.19</v>
      </c>
      <c r="E11" s="42">
        <f t="shared" si="0"/>
        <v>-6.29</v>
      </c>
      <c r="F11" s="43"/>
    </row>
    <row r="12" s="17" customFormat="1" ht="25" customHeight="1" spans="1:6">
      <c r="A12" s="27">
        <v>2</v>
      </c>
      <c r="B12" s="41" t="s">
        <v>14</v>
      </c>
      <c r="C12" s="42">
        <v>614.69</v>
      </c>
      <c r="D12" s="42">
        <v>555.74</v>
      </c>
      <c r="E12" s="42">
        <f t="shared" si="0"/>
        <v>-58.95</v>
      </c>
      <c r="F12" s="43"/>
    </row>
    <row r="13" s="17" customFormat="1" ht="25" customHeight="1" spans="1:6">
      <c r="A13" s="27">
        <v>3</v>
      </c>
      <c r="B13" s="41" t="s">
        <v>15</v>
      </c>
      <c r="C13" s="42">
        <v>68.67</v>
      </c>
      <c r="D13" s="42">
        <v>64.71</v>
      </c>
      <c r="E13" s="42">
        <f t="shared" si="0"/>
        <v>-3.96</v>
      </c>
      <c r="F13" s="43"/>
    </row>
    <row r="14" s="17" customFormat="1" ht="25" customHeight="1" spans="1:6">
      <c r="A14" s="27" t="s">
        <v>18</v>
      </c>
      <c r="B14" s="41" t="s">
        <v>19</v>
      </c>
      <c r="C14" s="42">
        <f>C15+C16+C17+C18</f>
        <v>2733.97</v>
      </c>
      <c r="D14" s="42">
        <f>D15+D16+D17+D18</f>
        <v>2663.3</v>
      </c>
      <c r="E14" s="42">
        <f t="shared" si="0"/>
        <v>-70.67</v>
      </c>
      <c r="F14" s="43"/>
    </row>
    <row r="15" s="17" customFormat="1" ht="25" customHeight="1" spans="1:6">
      <c r="A15" s="27">
        <v>1</v>
      </c>
      <c r="B15" s="41" t="s">
        <v>13</v>
      </c>
      <c r="C15" s="42">
        <v>936.48</v>
      </c>
      <c r="D15" s="42">
        <v>927.39</v>
      </c>
      <c r="E15" s="42">
        <f t="shared" ref="E15:E19" si="2">D15-C15</f>
        <v>-9.09</v>
      </c>
      <c r="F15" s="43"/>
    </row>
    <row r="16" s="17" customFormat="1" ht="25" customHeight="1" spans="1:6">
      <c r="A16" s="27">
        <v>2</v>
      </c>
      <c r="B16" s="41" t="s">
        <v>14</v>
      </c>
      <c r="C16" s="42">
        <v>1490.77</v>
      </c>
      <c r="D16" s="42">
        <v>1450.94</v>
      </c>
      <c r="E16" s="42">
        <f t="shared" si="2"/>
        <v>-39.83</v>
      </c>
      <c r="F16" s="43"/>
    </row>
    <row r="17" s="17" customFormat="1" ht="25" customHeight="1" spans="1:6">
      <c r="A17" s="27">
        <v>3</v>
      </c>
      <c r="B17" s="41" t="s">
        <v>15</v>
      </c>
      <c r="C17" s="42">
        <v>99.35</v>
      </c>
      <c r="D17" s="42">
        <v>93.97</v>
      </c>
      <c r="E17" s="42">
        <f t="shared" si="2"/>
        <v>-5.38</v>
      </c>
      <c r="F17" s="43"/>
    </row>
    <row r="18" s="17" customFormat="1" ht="25" customHeight="1" spans="1:6">
      <c r="A18" s="27">
        <v>4</v>
      </c>
      <c r="B18" s="41" t="s">
        <v>20</v>
      </c>
      <c r="C18" s="42">
        <v>207.37</v>
      </c>
      <c r="D18" s="42">
        <v>191</v>
      </c>
      <c r="E18" s="42">
        <f t="shared" si="2"/>
        <v>-16.37</v>
      </c>
      <c r="F18" s="44"/>
    </row>
    <row r="19" s="17" customFormat="1" ht="25" customHeight="1" spans="1:6">
      <c r="A19" s="36" t="s">
        <v>21</v>
      </c>
      <c r="B19" s="37" t="s">
        <v>22</v>
      </c>
      <c r="C19" s="38">
        <f>C20+C22+C23+C24+C25+C26+C27+C34+C35+C36+C40+C41+C42+C43</f>
        <v>687.27</v>
      </c>
      <c r="D19" s="38">
        <f>D20+D21</f>
        <v>780.69</v>
      </c>
      <c r="E19" s="38">
        <f t="shared" si="2"/>
        <v>93.42</v>
      </c>
      <c r="F19" s="44"/>
    </row>
    <row r="20" s="17" customFormat="1" ht="25" customHeight="1" spans="1:6">
      <c r="A20" s="27" t="s">
        <v>23</v>
      </c>
      <c r="B20" s="41" t="s">
        <v>24</v>
      </c>
      <c r="C20" s="42">
        <v>0</v>
      </c>
      <c r="D20" s="42">
        <v>0</v>
      </c>
      <c r="E20" s="42">
        <v>0</v>
      </c>
      <c r="F20" s="44"/>
    </row>
    <row r="21" s="17" customFormat="1" ht="25" customHeight="1" spans="1:6">
      <c r="A21" s="27" t="s">
        <v>25</v>
      </c>
      <c r="B21" s="41" t="s">
        <v>26</v>
      </c>
      <c r="C21" s="45">
        <f>C22+C23+C24+C25+C26+C27+C34+C35+C36+C40+C41+C42+C43</f>
        <v>687.27</v>
      </c>
      <c r="D21" s="45">
        <f>D22+D23+D24+D25+D26+D27+D34+D35+D36+D40+D41+D42+D43</f>
        <v>780.69</v>
      </c>
      <c r="E21" s="42">
        <f t="shared" ref="E19:E33" si="3">D21-C21</f>
        <v>93.42</v>
      </c>
      <c r="F21" s="46"/>
    </row>
    <row r="22" s="18" customFormat="1" ht="25" customHeight="1" spans="1:6">
      <c r="A22" s="47">
        <v>1</v>
      </c>
      <c r="B22" s="41" t="s">
        <v>27</v>
      </c>
      <c r="C22" s="45">
        <v>23.99</v>
      </c>
      <c r="D22" s="42">
        <f>D5*0.5%</f>
        <v>23.07</v>
      </c>
      <c r="E22" s="42">
        <f t="shared" si="3"/>
        <v>-0.92</v>
      </c>
      <c r="F22" s="48" t="s">
        <v>28</v>
      </c>
    </row>
    <row r="23" s="18" customFormat="1" ht="25" customHeight="1" spans="1:6">
      <c r="A23" s="47">
        <v>2</v>
      </c>
      <c r="B23" s="41" t="s">
        <v>29</v>
      </c>
      <c r="C23" s="42">
        <v>88.38</v>
      </c>
      <c r="D23" s="42">
        <f>80+(8206-2556.07-5000)*1.2%</f>
        <v>87.8</v>
      </c>
      <c r="E23" s="42">
        <f t="shared" si="3"/>
        <v>-0.58</v>
      </c>
      <c r="F23" s="48" t="s">
        <v>28</v>
      </c>
    </row>
    <row r="24" s="18" customFormat="1" ht="25" customHeight="1" spans="1:6">
      <c r="A24" s="47">
        <v>3</v>
      </c>
      <c r="B24" s="41" t="s">
        <v>30</v>
      </c>
      <c r="C24" s="42">
        <v>72.38</v>
      </c>
      <c r="D24" s="49">
        <f>(55+(78.1-55)/2000*(D5-3000))*0.95</f>
        <v>69.96</v>
      </c>
      <c r="E24" s="42">
        <f t="shared" si="3"/>
        <v>-2.42</v>
      </c>
      <c r="F24" s="48" t="s">
        <v>28</v>
      </c>
    </row>
    <row r="25" s="18" customFormat="1" ht="25" customHeight="1" spans="1:6">
      <c r="A25" s="47">
        <v>4</v>
      </c>
      <c r="B25" s="41" t="s">
        <v>31</v>
      </c>
      <c r="C25" s="42">
        <v>11.79</v>
      </c>
      <c r="D25" s="50">
        <f>(100*0.85%+400*0.595%+500*0.4625%+(D5-1000)*0.2975%)*0.7</f>
        <v>11.41</v>
      </c>
      <c r="E25" s="42">
        <f t="shared" si="3"/>
        <v>-0.38</v>
      </c>
      <c r="F25" s="48" t="s">
        <v>28</v>
      </c>
    </row>
    <row r="26" s="18" customFormat="1" ht="25" customHeight="1" spans="1:6">
      <c r="A26" s="47">
        <v>5</v>
      </c>
      <c r="B26" s="41" t="s">
        <v>32</v>
      </c>
      <c r="C26" s="42">
        <v>2.45</v>
      </c>
      <c r="D26" s="49">
        <f>D5*0.17%*0.3</f>
        <v>2.35</v>
      </c>
      <c r="E26" s="42">
        <f t="shared" si="3"/>
        <v>-0.1</v>
      </c>
      <c r="F26" s="48" t="s">
        <v>28</v>
      </c>
    </row>
    <row r="27" s="18" customFormat="1" ht="25" customHeight="1" spans="1:6">
      <c r="A27" s="47">
        <v>6</v>
      </c>
      <c r="B27" s="41" t="s">
        <v>33</v>
      </c>
      <c r="C27" s="42">
        <v>23.79</v>
      </c>
      <c r="D27" s="42">
        <f>D28+D29+D30+D31+D32+D33</f>
        <v>98.81</v>
      </c>
      <c r="E27" s="42">
        <f t="shared" si="3"/>
        <v>75.02</v>
      </c>
      <c r="F27" s="48" t="s">
        <v>28</v>
      </c>
    </row>
    <row r="28" s="18" customFormat="1" ht="33" customHeight="1" spans="1:6">
      <c r="A28" s="51">
        <v>6.1</v>
      </c>
      <c r="B28" s="41" t="s">
        <v>34</v>
      </c>
      <c r="C28" s="42">
        <v>9.85</v>
      </c>
      <c r="D28" s="42">
        <v>10</v>
      </c>
      <c r="E28" s="42">
        <f t="shared" si="3"/>
        <v>0.15</v>
      </c>
      <c r="F28" s="52" t="s">
        <v>35</v>
      </c>
    </row>
    <row r="29" s="18" customFormat="1" ht="25" customHeight="1" spans="1:6">
      <c r="A29" s="51">
        <v>6.2</v>
      </c>
      <c r="B29" s="41" t="s">
        <v>36</v>
      </c>
      <c r="C29" s="42">
        <v>3.35</v>
      </c>
      <c r="D29" s="42">
        <f>3.5+0.35</f>
        <v>3.85</v>
      </c>
      <c r="E29" s="42">
        <f t="shared" si="3"/>
        <v>0.5</v>
      </c>
      <c r="F29" s="48" t="s">
        <v>28</v>
      </c>
    </row>
    <row r="30" s="18" customFormat="1" ht="25" customHeight="1" spans="1:6">
      <c r="A30" s="51">
        <v>6.3</v>
      </c>
      <c r="B30" s="41" t="s">
        <v>37</v>
      </c>
      <c r="C30" s="42">
        <v>7.63</v>
      </c>
      <c r="D30" s="42">
        <v>7.63</v>
      </c>
      <c r="E30" s="42">
        <f t="shared" si="3"/>
        <v>0</v>
      </c>
      <c r="F30" s="48" t="s">
        <v>28</v>
      </c>
    </row>
    <row r="31" s="18" customFormat="1" ht="25" customHeight="1" spans="1:6">
      <c r="A31" s="51">
        <v>6.4</v>
      </c>
      <c r="B31" s="41" t="s">
        <v>38</v>
      </c>
      <c r="C31" s="42">
        <v>2.96</v>
      </c>
      <c r="D31" s="42">
        <f>10*0.3</f>
        <v>3</v>
      </c>
      <c r="E31" s="42">
        <f t="shared" si="3"/>
        <v>0.04</v>
      </c>
      <c r="F31" s="48" t="s">
        <v>28</v>
      </c>
    </row>
    <row r="32" s="18" customFormat="1" ht="33" customHeight="1" spans="1:6">
      <c r="A32" s="51">
        <v>6.5</v>
      </c>
      <c r="B32" s="41" t="s">
        <v>39</v>
      </c>
      <c r="C32" s="42"/>
      <c r="D32" s="42">
        <f>80-23.2</f>
        <v>56.8</v>
      </c>
      <c r="E32" s="42">
        <f t="shared" si="3"/>
        <v>56.8</v>
      </c>
      <c r="F32" s="52" t="s">
        <v>40</v>
      </c>
    </row>
    <row r="33" s="18" customFormat="1" ht="31" customHeight="1" spans="1:6">
      <c r="A33" s="51">
        <v>6.6</v>
      </c>
      <c r="B33" s="41" t="s">
        <v>41</v>
      </c>
      <c r="C33" s="42"/>
      <c r="D33" s="42">
        <f>12.715*1.379</f>
        <v>17.53</v>
      </c>
      <c r="E33" s="42">
        <f t="shared" si="3"/>
        <v>17.53</v>
      </c>
      <c r="F33" s="52" t="s">
        <v>35</v>
      </c>
    </row>
    <row r="34" s="18" customFormat="1" ht="33" customHeight="1" spans="1:6">
      <c r="A34" s="47">
        <v>7</v>
      </c>
      <c r="B34" s="41" t="s">
        <v>42</v>
      </c>
      <c r="C34" s="42">
        <v>26.87</v>
      </c>
      <c r="D34" s="50">
        <f>68.98-20</f>
        <v>48.98</v>
      </c>
      <c r="E34" s="42">
        <f t="shared" ref="E34:E48" si="4">D34-C34</f>
        <v>22.11</v>
      </c>
      <c r="F34" s="52" t="s">
        <v>40</v>
      </c>
    </row>
    <row r="35" s="18" customFormat="1" ht="25" customHeight="1" spans="1:6">
      <c r="A35" s="47">
        <v>8</v>
      </c>
      <c r="B35" s="41" t="s">
        <v>43</v>
      </c>
      <c r="C35" s="42">
        <v>140.33</v>
      </c>
      <c r="D35" s="49">
        <f>D5*3.25%*0.8</f>
        <v>119.96</v>
      </c>
      <c r="E35" s="42">
        <f t="shared" si="4"/>
        <v>-20.37</v>
      </c>
      <c r="F35" s="48" t="s">
        <v>28</v>
      </c>
    </row>
    <row r="36" s="18" customFormat="1" ht="25" customHeight="1" spans="1:6">
      <c r="A36" s="47">
        <v>9</v>
      </c>
      <c r="B36" s="41" t="s">
        <v>44</v>
      </c>
      <c r="C36" s="42">
        <v>40.61</v>
      </c>
      <c r="D36" s="42">
        <f>D37+D38+D39</f>
        <v>50.51</v>
      </c>
      <c r="E36" s="42">
        <f t="shared" si="4"/>
        <v>9.9</v>
      </c>
      <c r="F36" s="48" t="s">
        <v>28</v>
      </c>
    </row>
    <row r="37" s="18" customFormat="1" ht="25" customHeight="1" spans="1:6">
      <c r="A37" s="51">
        <v>9.1</v>
      </c>
      <c r="B37" s="41" t="s">
        <v>45</v>
      </c>
      <c r="C37" s="42">
        <v>8.16</v>
      </c>
      <c r="D37" s="49">
        <f>D35*0.1*0.6</f>
        <v>7.2</v>
      </c>
      <c r="E37" s="42">
        <f t="shared" si="4"/>
        <v>-0.96</v>
      </c>
      <c r="F37" s="48" t="s">
        <v>28</v>
      </c>
    </row>
    <row r="38" s="18" customFormat="1" ht="25" customHeight="1" spans="1:6">
      <c r="A38" s="51">
        <v>9.2</v>
      </c>
      <c r="B38" s="41" t="s">
        <v>46</v>
      </c>
      <c r="C38" s="42">
        <v>12.46</v>
      </c>
      <c r="D38" s="53">
        <f>((500*0.35%+500*0.32%+(D5-1000)*0.24%))*2*0.6</f>
        <v>14.43</v>
      </c>
      <c r="E38" s="42">
        <f t="shared" si="4"/>
        <v>1.97</v>
      </c>
      <c r="F38" s="48" t="s">
        <v>28</v>
      </c>
    </row>
    <row r="39" s="18" customFormat="1" ht="25" customHeight="1" spans="1:6">
      <c r="A39" s="51">
        <v>9.3</v>
      </c>
      <c r="B39" s="41" t="s">
        <v>47</v>
      </c>
      <c r="C39" s="42">
        <v>19.99</v>
      </c>
      <c r="D39" s="53">
        <f>((500*1.3%+500*1.1%+(D5-1000)*1%))*0.6</f>
        <v>28.88</v>
      </c>
      <c r="E39" s="42">
        <f t="shared" si="4"/>
        <v>8.89</v>
      </c>
      <c r="F39" s="52" t="s">
        <v>48</v>
      </c>
    </row>
    <row r="40" s="18" customFormat="1" ht="25" customHeight="1" spans="1:6">
      <c r="A40" s="47">
        <v>10</v>
      </c>
      <c r="B40" s="41" t="s">
        <v>49</v>
      </c>
      <c r="C40" s="42">
        <v>10.08</v>
      </c>
      <c r="D40" s="49">
        <f>D5*0.3%</f>
        <v>13.84</v>
      </c>
      <c r="E40" s="42">
        <f t="shared" si="4"/>
        <v>3.76</v>
      </c>
      <c r="F40" s="48" t="s">
        <v>28</v>
      </c>
    </row>
    <row r="41" s="18" customFormat="1" ht="25" customHeight="1" spans="1:6">
      <c r="A41" s="47">
        <v>11</v>
      </c>
      <c r="B41" s="41" t="s">
        <v>50</v>
      </c>
      <c r="C41" s="42">
        <v>16.79</v>
      </c>
      <c r="D41" s="49">
        <f>D5*0.5%</f>
        <v>23.07</v>
      </c>
      <c r="E41" s="42">
        <f t="shared" si="4"/>
        <v>6.28</v>
      </c>
      <c r="F41" s="48" t="s">
        <v>28</v>
      </c>
    </row>
    <row r="42" s="18" customFormat="1" ht="25" customHeight="1" spans="1:6">
      <c r="A42" s="47">
        <v>12</v>
      </c>
      <c r="B42" s="41" t="s">
        <v>51</v>
      </c>
      <c r="C42" s="42">
        <v>1.69</v>
      </c>
      <c r="D42" s="42">
        <f>44460*0.5/10000</f>
        <v>2.22</v>
      </c>
      <c r="E42" s="42">
        <f t="shared" si="4"/>
        <v>0.53</v>
      </c>
      <c r="F42" s="52" t="s">
        <v>52</v>
      </c>
    </row>
    <row r="43" s="18" customFormat="1" ht="25" customHeight="1" spans="1:6">
      <c r="A43" s="47">
        <v>13</v>
      </c>
      <c r="B43" s="41" t="s">
        <v>53</v>
      </c>
      <c r="C43" s="42">
        <v>228.12</v>
      </c>
      <c r="D43" s="42">
        <f>30679*355/10000*0.21</f>
        <v>228.71</v>
      </c>
      <c r="E43" s="42">
        <f t="shared" si="4"/>
        <v>0.59</v>
      </c>
      <c r="F43" s="52" t="s">
        <v>54</v>
      </c>
    </row>
    <row r="44" s="17" customFormat="1" ht="25" customHeight="1" spans="1:6">
      <c r="A44" s="36" t="s">
        <v>55</v>
      </c>
      <c r="B44" s="37" t="s">
        <v>56</v>
      </c>
      <c r="C44" s="38">
        <f>C45</f>
        <v>164.55</v>
      </c>
      <c r="D44" s="38">
        <f>D45</f>
        <v>161.83</v>
      </c>
      <c r="E44" s="38">
        <f t="shared" si="4"/>
        <v>-2.72</v>
      </c>
      <c r="F44" s="44"/>
    </row>
    <row r="45" s="18" customFormat="1" ht="25" customHeight="1" spans="1:6">
      <c r="A45" s="54" t="s">
        <v>23</v>
      </c>
      <c r="B45" s="41" t="s">
        <v>57</v>
      </c>
      <c r="C45" s="42">
        <f>(C5+C19)*3%</f>
        <v>164.55</v>
      </c>
      <c r="D45" s="42">
        <f>(D5+D19)*3%</f>
        <v>161.83</v>
      </c>
      <c r="E45" s="42">
        <f t="shared" si="4"/>
        <v>-2.72</v>
      </c>
      <c r="F45" s="48" t="s">
        <v>58</v>
      </c>
    </row>
    <row r="46" s="19" customFormat="1" ht="25" customHeight="1" spans="1:6">
      <c r="A46" s="55"/>
      <c r="B46" s="37" t="s">
        <v>59</v>
      </c>
      <c r="C46" s="38">
        <f>C44+C19+C5</f>
        <v>5649.53</v>
      </c>
      <c r="D46" s="38">
        <f>D44+D19+D5</f>
        <v>5556.24</v>
      </c>
      <c r="E46" s="42">
        <f t="shared" si="4"/>
        <v>-93.29</v>
      </c>
      <c r="F46" s="44"/>
    </row>
    <row r="47" s="17" customFormat="1" ht="25" customHeight="1" spans="1:6">
      <c r="A47" s="36" t="s">
        <v>60</v>
      </c>
      <c r="B47" s="37" t="s">
        <v>61</v>
      </c>
      <c r="C47" s="38">
        <v>0</v>
      </c>
      <c r="D47" s="38">
        <v>0</v>
      </c>
      <c r="E47" s="38">
        <f t="shared" si="4"/>
        <v>0</v>
      </c>
      <c r="F47" s="52" t="s">
        <v>62</v>
      </c>
    </row>
    <row r="48" s="17" customFormat="1" ht="25" customHeight="1" spans="1:6">
      <c r="A48" s="36" t="s">
        <v>63</v>
      </c>
      <c r="B48" s="37" t="s">
        <v>64</v>
      </c>
      <c r="C48" s="38">
        <f>C46+C47</f>
        <v>5649.53</v>
      </c>
      <c r="D48" s="38">
        <f>D5+D19+D44+D47</f>
        <v>5556.24</v>
      </c>
      <c r="E48" s="38">
        <f t="shared" si="4"/>
        <v>-93.29</v>
      </c>
      <c r="F48" s="52" t="s">
        <v>65</v>
      </c>
    </row>
    <row r="49" s="17" customFormat="1" ht="25" customHeight="1" spans="1:6">
      <c r="A49" s="20"/>
      <c r="B49" s="56"/>
      <c r="C49" s="57"/>
      <c r="D49" s="57"/>
      <c r="E49" s="57"/>
      <c r="F49" s="57"/>
    </row>
    <row r="50" s="17" customFormat="1" ht="27.95" customHeight="1" spans="1:6">
      <c r="A50" s="20"/>
      <c r="B50" s="56"/>
      <c r="C50" s="57"/>
      <c r="D50" s="57"/>
      <c r="E50" s="57"/>
      <c r="F50" s="57"/>
    </row>
    <row r="51" s="17" customFormat="1" ht="13.5" spans="1:6">
      <c r="A51" s="20"/>
      <c r="B51" s="56"/>
      <c r="C51" s="57"/>
      <c r="D51" s="57"/>
      <c r="E51" s="57"/>
      <c r="F51" s="57"/>
    </row>
    <row r="52" s="17" customFormat="1" ht="13.5" spans="1:6">
      <c r="A52" s="20"/>
      <c r="B52" s="56"/>
      <c r="C52" s="57"/>
      <c r="D52" s="57"/>
      <c r="E52" s="57"/>
      <c r="F52" s="57"/>
    </row>
    <row r="53" s="17" customFormat="1" ht="13.5" spans="1:6">
      <c r="A53" s="20"/>
      <c r="B53" s="56"/>
      <c r="C53" s="57"/>
      <c r="D53" s="57"/>
      <c r="E53" s="57"/>
      <c r="F53" s="57"/>
    </row>
  </sheetData>
  <mergeCells count="6">
    <mergeCell ref="A1:F1"/>
    <mergeCell ref="A2:F2"/>
    <mergeCell ref="C3:E3"/>
    <mergeCell ref="A3:A4"/>
    <mergeCell ref="B3:B4"/>
    <mergeCell ref="F3:F4"/>
  </mergeCells>
  <printOptions horizontalCentered="1"/>
  <pageMargins left="0.236111111111111" right="0.275" top="0.472222222222222" bottom="0.472222222222222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K16" sqref="K16"/>
    </sheetView>
  </sheetViews>
  <sheetFormatPr defaultColWidth="9.33333333333333" defaultRowHeight="12.75" outlineLevelCol="6"/>
  <cols>
    <col min="1" max="1" width="9.33333333333333" style="1"/>
    <col min="2" max="2" width="23.1666666666667" style="1" customWidth="1"/>
    <col min="3" max="3" width="19.6666666666667" style="1" customWidth="1"/>
    <col min="4" max="4" width="16.3333333333333" style="2" customWidth="1"/>
    <col min="5" max="5" width="18.8333333333333" style="2" customWidth="1"/>
    <col min="6" max="6" width="18.6666666666667" style="1" customWidth="1"/>
    <col min="7" max="7" width="22.1666666666667" style="1" customWidth="1"/>
    <col min="8" max="16384" width="9.33333333333333" style="1"/>
  </cols>
  <sheetData>
    <row r="1" customHeight="1"/>
    <row r="3" ht="26.1" customHeight="1" spans="1:7">
      <c r="A3" s="3" t="s">
        <v>2</v>
      </c>
      <c r="B3" s="3" t="s">
        <v>3</v>
      </c>
      <c r="C3" s="4" t="s">
        <v>66</v>
      </c>
      <c r="D3" s="5" t="s">
        <v>67</v>
      </c>
      <c r="E3" s="6" t="s">
        <v>68</v>
      </c>
      <c r="F3" s="7" t="s">
        <v>69</v>
      </c>
      <c r="G3" s="3" t="s">
        <v>5</v>
      </c>
    </row>
    <row r="4" ht="26.1" customHeight="1" spans="1:7">
      <c r="A4" s="3"/>
      <c r="B4" s="3"/>
      <c r="C4" s="8"/>
      <c r="D4" s="9"/>
      <c r="E4" s="6"/>
      <c r="F4" s="7"/>
      <c r="G4" s="3"/>
    </row>
    <row r="5" ht="26.1" customHeight="1" spans="1:7">
      <c r="A5" s="3" t="s">
        <v>9</v>
      </c>
      <c r="B5" s="3" t="s">
        <v>70</v>
      </c>
      <c r="C5" s="3">
        <f>SUM(C6:C7)</f>
        <v>3298.18</v>
      </c>
      <c r="D5" s="10"/>
      <c r="E5" s="10"/>
      <c r="F5" s="11"/>
      <c r="G5" s="3"/>
    </row>
    <row r="6" ht="26.1" customHeight="1" spans="1:7">
      <c r="A6" s="3" t="s">
        <v>11</v>
      </c>
      <c r="B6" s="3" t="s">
        <v>71</v>
      </c>
      <c r="C6" s="3">
        <v>2135.25</v>
      </c>
      <c r="D6" s="10">
        <f>概算对比表!C5</f>
        <v>4797.71</v>
      </c>
      <c r="E6" s="10">
        <f>D6-C6</f>
        <v>2662.46</v>
      </c>
      <c r="F6" s="11">
        <f>E6/C6</f>
        <v>1.2469</v>
      </c>
      <c r="G6" s="3"/>
    </row>
    <row r="7" ht="26.1" customHeight="1" spans="1:7">
      <c r="A7" s="3" t="s">
        <v>16</v>
      </c>
      <c r="B7" s="3" t="s">
        <v>72</v>
      </c>
      <c r="C7" s="3">
        <v>1162.93</v>
      </c>
      <c r="D7" s="10"/>
      <c r="E7" s="10"/>
      <c r="F7" s="11"/>
      <c r="G7" s="3"/>
    </row>
    <row r="8" ht="26.1" customHeight="1" spans="1:7">
      <c r="A8" s="3" t="s">
        <v>21</v>
      </c>
      <c r="B8" s="3" t="s">
        <v>73</v>
      </c>
      <c r="C8" s="3">
        <v>406.77</v>
      </c>
      <c r="D8" s="10">
        <f>概算对比表!C19</f>
        <v>687.27</v>
      </c>
      <c r="E8" s="10">
        <f>D8-C8</f>
        <v>280.5</v>
      </c>
      <c r="F8" s="11">
        <f>E8/C8</f>
        <v>0.6896</v>
      </c>
      <c r="G8" s="3"/>
    </row>
    <row r="9" ht="26.1" customHeight="1" spans="1:7">
      <c r="A9" s="3" t="s">
        <v>55</v>
      </c>
      <c r="B9" s="3" t="s">
        <v>56</v>
      </c>
      <c r="C9" s="3">
        <v>296.4</v>
      </c>
      <c r="D9" s="10">
        <f>概算对比表!C44</f>
        <v>164.55</v>
      </c>
      <c r="E9" s="12">
        <f>D9-C9</f>
        <v>-131.85</v>
      </c>
      <c r="F9" s="13">
        <f>E9/C9</f>
        <v>-0.4448</v>
      </c>
      <c r="G9" s="4" t="s">
        <v>74</v>
      </c>
    </row>
    <row r="10" ht="26.1" customHeight="1" spans="1:7">
      <c r="A10" s="3"/>
      <c r="B10" s="3"/>
      <c r="C10" s="3"/>
      <c r="D10" s="10"/>
      <c r="E10" s="14"/>
      <c r="F10" s="15"/>
      <c r="G10" s="8"/>
    </row>
    <row r="11" ht="26.1" customHeight="1" spans="1:7">
      <c r="A11" s="3" t="s">
        <v>60</v>
      </c>
      <c r="B11" s="3" t="s">
        <v>61</v>
      </c>
      <c r="C11" s="10">
        <v>0</v>
      </c>
      <c r="D11" s="10">
        <f>概算对比表!C47</f>
        <v>0</v>
      </c>
      <c r="E11" s="10"/>
      <c r="F11" s="11"/>
      <c r="G11" s="7"/>
    </row>
    <row r="12" ht="26.1" customHeight="1" spans="1:7">
      <c r="A12" s="3" t="s">
        <v>63</v>
      </c>
      <c r="B12" s="3" t="s">
        <v>75</v>
      </c>
      <c r="C12" s="3">
        <f>SUM(C5,C8:C11)</f>
        <v>4001.35</v>
      </c>
      <c r="D12" s="10">
        <f>SUM(D5:D11)</f>
        <v>5649.53</v>
      </c>
      <c r="E12" s="10">
        <f>D12-C12</f>
        <v>1648.18</v>
      </c>
      <c r="F12" s="11">
        <f>E12/C12</f>
        <v>0.4119</v>
      </c>
      <c r="G12" s="3"/>
    </row>
    <row r="13" ht="26.1" customHeight="1"/>
    <row r="14" ht="26.1" customHeight="1"/>
    <row r="15" ht="26.1" customHeight="1"/>
  </sheetData>
  <mergeCells count="14">
    <mergeCell ref="A3:A4"/>
    <mergeCell ref="A9:A10"/>
    <mergeCell ref="B3:B4"/>
    <mergeCell ref="B9:B10"/>
    <mergeCell ref="C3:C4"/>
    <mergeCell ref="C9:C10"/>
    <mergeCell ref="D3:D4"/>
    <mergeCell ref="D9:D10"/>
    <mergeCell ref="E3:E4"/>
    <mergeCell ref="E9:E10"/>
    <mergeCell ref="F3:F4"/>
    <mergeCell ref="F9:F10"/>
    <mergeCell ref="G3:G4"/>
    <mergeCell ref="G9:G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概算对比表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2020-12-17T02:15:00Z</dcterms:created>
  <cp:lastPrinted>2022-06-07T09:23:00Z</cp:lastPrinted>
  <dcterms:modified xsi:type="dcterms:W3CDTF">2025-03-18T08:02:59Z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32DBD8E283814798ADAA29377EF97911</vt:lpwstr>
  </property>
</Properties>
</file>