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125" windowHeight="12540" firstSheet="1" activeTab="1"/>
  </bookViews>
  <sheets>
    <sheet name="总概算表-隐藏" sheetId="2" state="hidden" r:id="rId1"/>
    <sheet name="总概算表对比表" sheetId="3" r:id="rId2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</externalReferences>
  <definedNames>
    <definedName name="_________PA8">'[1]SW-TEO'!#REF!</definedName>
    <definedName name="__PD1">'[1]SW-TEO'!#REF!</definedName>
    <definedName name="__PH1">'[1]SW-TEO'!#REF!</definedName>
    <definedName name="_1">[2]价格!#REF!</definedName>
    <definedName name="_Fill" hidden="1">#REF!</definedName>
    <definedName name="_PA7">'[1]SW-TEO'!#REF!</definedName>
    <definedName name="_PE12">'[1]SW-TEO'!#REF!</definedName>
    <definedName name="_PE13">'[1]SW-TEO'!#REF!</definedName>
    <definedName name="_PE6">'[1]SW-TEO'!#REF!</definedName>
    <definedName name="_PE7">'[1]SW-TEO'!#REF!</definedName>
    <definedName name="_PE8">'[1]SW-TEO'!#REF!</definedName>
    <definedName name="_PE9">'[1]SW-TEO'!#REF!</definedName>
    <definedName name="_PI1">'[1]SW-TEO'!#REF!</definedName>
    <definedName name="_PK1">'[1]SW-TEO'!#REF!</definedName>
    <definedName name="_PK3">'[1]SW-TEO'!#REF!</definedName>
    <definedName name="aaa">#REF!</definedName>
    <definedName name="aiu_bottom">'[3]Financ. Overview'!#REF!</definedName>
    <definedName name="bbb">#REF!</definedName>
    <definedName name="Database" hidden="1">#REF!</definedName>
    <definedName name="EQUIPMENT">#REF!</definedName>
    <definedName name="FRC">[4]Main!$C$9</definedName>
    <definedName name="hostfee">'[3]Financ. Overview'!$H$12</definedName>
    <definedName name="hraiu_bottom">'[3]Financ. Overview'!#REF!</definedName>
    <definedName name="hvac">'[3]Financ. Overview'!#REF!</definedName>
    <definedName name="HWSheet">1</definedName>
    <definedName name="Module.Prix_SMC">[10]!Module.Prix_SMC</definedName>
    <definedName name="OS">[5]Open!#REF!</definedName>
    <definedName name="pr_toolbox">[3]Toolbox!$A$3:$I$80</definedName>
    <definedName name="_xlnm.Print_Area" localSheetId="0">'总概算表-隐藏'!$A$1:$L$32</definedName>
    <definedName name="_xlnm.Print_Titles" localSheetId="0">'总概算表-隐藏'!$1:$4</definedName>
    <definedName name="Prix_SMC">[10]!Prix_SMC</definedName>
    <definedName name="s_c_list">[6]Toolbox!$A$7:$H$969</definedName>
    <definedName name="SCG">'[7]G.1R-Shou COP Gf'!#REF!</definedName>
    <definedName name="sdlfee">'[3]Financ. Overview'!$H$13</definedName>
    <definedName name="solar_ratio">'[8]POWER ASSUMPTIONS'!$H$7</definedName>
    <definedName name="ss7fee">'[3]Financ. Overview'!$H$18</definedName>
    <definedName name="subsfee">'[3]Financ. Overview'!$H$14</definedName>
    <definedName name="TaxTV">10%</definedName>
    <definedName name="TaxXL">5%</definedName>
    <definedName name="toolbox">[9]Toolbox!$C$5:$T$1578</definedName>
    <definedName name="V5.1Fee">'[3]Financ. Overview'!$H$15</definedName>
    <definedName name="Z32_Cost_red">'[3]Financ. Overview'!#REF!</definedName>
    <definedName name="进出口平衡比较">#REF!</definedName>
    <definedName name="数量">#REF!</definedName>
    <definedName name="____PE12">'[1]SW-TEO'!#REF!</definedName>
    <definedName name="__PA7">'[1]SW-TEO'!#REF!</definedName>
    <definedName name="__PE13">'[1]SW-TEO'!#REF!</definedName>
    <definedName name="__PE6">'[1]SW-TEO'!#REF!</definedName>
    <definedName name="__PE7">'[1]SW-TEO'!#REF!</definedName>
    <definedName name="__PE8">'[1]SW-TEO'!#REF!</definedName>
    <definedName name="__PE9">'[1]SW-TEO'!#REF!</definedName>
    <definedName name="__PI1">'[1]SW-TEO'!#REF!</definedName>
    <definedName name="__PK1">'[1]SW-TEO'!#REF!</definedName>
    <definedName name="__PK3">'[1]SW-TEO'!#REF!</definedName>
    <definedName name="_Fill" localSheetId="1" hidden="1">#REF!</definedName>
    <definedName name="_PA8">'[1]SW-TEO'!#REF!</definedName>
    <definedName name="_PD1">'[1]SW-TEO'!#REF!</definedName>
    <definedName name="_PH1">'[1]SW-TEO'!#REF!</definedName>
    <definedName name="aaa" localSheetId="1">#REF!</definedName>
    <definedName name="bbb" localSheetId="1">#REF!</definedName>
    <definedName name="Database" localSheetId="1" hidden="1">#REF!</definedName>
    <definedName name="EQUIPMENT" localSheetId="1">#REF!</definedName>
    <definedName name="Module.Prix_SMC" localSheetId="1">Module.Prix_SMC</definedName>
    <definedName name="_xlnm.Print_Area" localSheetId="1">总概算表对比表!$A$1:$O$32</definedName>
    <definedName name="_xlnm.Print_Titles" localSheetId="1">总概算表对比表!$1:$4</definedName>
    <definedName name="Prix_SMC" localSheetId="1">Prix_SMC</definedName>
    <definedName name="进出口平衡比较" localSheetId="1">#REF!</definedName>
    <definedName name="数量" localSheetId="1">#REF!</definedName>
  </definedNames>
  <calcPr calcId="144525" fullPrecision="0"/>
</workbook>
</file>

<file path=xl/comments1.xml><?xml version="1.0" encoding="utf-8"?>
<comments xmlns="http://schemas.openxmlformats.org/spreadsheetml/2006/main">
  <authors>
    <author>Administrator</author>
  </authors>
  <commentList>
    <comment ref="M1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计算值</t>
        </r>
      </text>
    </comment>
    <comment ref="N1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送审值</t>
        </r>
      </text>
    </comment>
    <comment ref="B2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施工图审查费</t>
        </r>
      </text>
    </comment>
  </commentList>
</comments>
</file>

<file path=xl/comments2.xml><?xml version="1.0" encoding="utf-8"?>
<comments xmlns="http://schemas.openxmlformats.org/spreadsheetml/2006/main">
  <authors>
    <author>Administrator</author>
  </authors>
  <commentList>
    <comment ref="B2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施工图审查费</t>
        </r>
      </text>
    </comment>
  </commentList>
</comments>
</file>

<file path=xl/sharedStrings.xml><?xml version="1.0" encoding="utf-8"?>
<sst xmlns="http://schemas.openxmlformats.org/spreadsheetml/2006/main" count="137" uniqueCount="79">
  <si>
    <r>
      <rPr>
        <b/>
        <sz val="18"/>
        <rFont val="仿宋_GB2312"/>
        <charset val="134"/>
      </rPr>
      <t>总</t>
    </r>
    <r>
      <rPr>
        <b/>
        <sz val="18"/>
        <rFont val="Times New Roman"/>
        <charset val="134"/>
      </rPr>
      <t xml:space="preserve"> </t>
    </r>
    <r>
      <rPr>
        <b/>
        <sz val="18"/>
        <rFont val="仿宋_GB2312"/>
        <charset val="134"/>
      </rPr>
      <t>投</t>
    </r>
    <r>
      <rPr>
        <b/>
        <sz val="18"/>
        <rFont val="Times New Roman"/>
        <charset val="134"/>
      </rPr>
      <t xml:space="preserve"> </t>
    </r>
    <r>
      <rPr>
        <b/>
        <sz val="18"/>
        <rFont val="仿宋_GB2312"/>
        <charset val="134"/>
      </rPr>
      <t>资</t>
    </r>
    <r>
      <rPr>
        <b/>
        <sz val="18"/>
        <rFont val="Times New Roman"/>
        <charset val="134"/>
      </rPr>
      <t xml:space="preserve"> </t>
    </r>
    <r>
      <rPr>
        <b/>
        <sz val="18"/>
        <rFont val="仿宋_GB2312"/>
        <charset val="134"/>
      </rPr>
      <t>概</t>
    </r>
    <r>
      <rPr>
        <b/>
        <sz val="18"/>
        <rFont val="Times New Roman"/>
        <charset val="134"/>
      </rPr>
      <t xml:space="preserve"> </t>
    </r>
    <r>
      <rPr>
        <b/>
        <sz val="18"/>
        <rFont val="仿宋_GB2312"/>
        <charset val="134"/>
      </rPr>
      <t>算</t>
    </r>
    <r>
      <rPr>
        <b/>
        <sz val="18"/>
        <rFont val="Times New Roman"/>
        <charset val="134"/>
      </rPr>
      <t xml:space="preserve"> </t>
    </r>
    <r>
      <rPr>
        <b/>
        <sz val="18"/>
        <rFont val="仿宋_GB2312"/>
        <charset val="134"/>
      </rPr>
      <t>表</t>
    </r>
  </si>
  <si>
    <t>工程名称：大足区2022年排水管网整治及维护工程</t>
  </si>
  <si>
    <r>
      <rPr>
        <sz val="9"/>
        <rFont val="Times New Roman"/>
        <charset val="134"/>
      </rPr>
      <t xml:space="preserve">                          </t>
    </r>
    <r>
      <rPr>
        <sz val="9"/>
        <rFont val="仿宋_GB2312"/>
        <charset val="134"/>
      </rPr>
      <t>单位：万元</t>
    </r>
    <r>
      <rPr>
        <sz val="9"/>
        <rFont val="Times New Roman"/>
        <charset val="134"/>
      </rPr>
      <t xml:space="preserve">  </t>
    </r>
  </si>
  <si>
    <r>
      <rPr>
        <b/>
        <sz val="9"/>
        <rFont val="仿宋_GB2312"/>
        <charset val="134"/>
      </rPr>
      <t>序号</t>
    </r>
  </si>
  <si>
    <r>
      <rPr>
        <b/>
        <sz val="9"/>
        <rFont val="仿宋_GB2312"/>
        <charset val="134"/>
      </rPr>
      <t>工程项目或费用名称</t>
    </r>
  </si>
  <si>
    <r>
      <rPr>
        <b/>
        <sz val="9"/>
        <rFont val="仿宋_GB2312"/>
        <charset val="134"/>
      </rPr>
      <t>评审概算</t>
    </r>
  </si>
  <si>
    <r>
      <rPr>
        <b/>
        <sz val="9"/>
        <rFont val="仿宋_GB2312"/>
        <charset val="134"/>
      </rPr>
      <t>技术经济指标</t>
    </r>
  </si>
  <si>
    <r>
      <rPr>
        <b/>
        <sz val="9"/>
        <rFont val="仿宋_GB2312"/>
        <charset val="134"/>
      </rPr>
      <t>占总投资比例</t>
    </r>
    <r>
      <rPr>
        <b/>
        <sz val="9"/>
        <rFont val="Times New Roman"/>
        <charset val="134"/>
      </rPr>
      <t>%</t>
    </r>
  </si>
  <si>
    <r>
      <rPr>
        <b/>
        <sz val="9"/>
        <rFont val="仿宋_GB2312"/>
        <charset val="134"/>
      </rPr>
      <t>备注</t>
    </r>
  </si>
  <si>
    <r>
      <rPr>
        <b/>
        <sz val="9"/>
        <rFont val="仿宋_GB2312"/>
        <charset val="134"/>
      </rPr>
      <t>建筑工程</t>
    </r>
  </si>
  <si>
    <r>
      <rPr>
        <b/>
        <sz val="9"/>
        <rFont val="仿宋_GB2312"/>
        <charset val="134"/>
      </rPr>
      <t>安装工程</t>
    </r>
  </si>
  <si>
    <r>
      <rPr>
        <b/>
        <sz val="9"/>
        <rFont val="仿宋_GB2312"/>
        <charset val="134"/>
      </rPr>
      <t>设备及工器具购置</t>
    </r>
  </si>
  <si>
    <r>
      <rPr>
        <b/>
        <sz val="9"/>
        <rFont val="仿宋_GB2312"/>
        <charset val="134"/>
      </rPr>
      <t>其它费用</t>
    </r>
  </si>
  <si>
    <r>
      <rPr>
        <b/>
        <sz val="9"/>
        <rFont val="仿宋_GB2312"/>
        <charset val="134"/>
      </rPr>
      <t>合</t>
    </r>
    <r>
      <rPr>
        <b/>
        <sz val="9"/>
        <rFont val="Times New Roman"/>
        <charset val="134"/>
      </rPr>
      <t xml:space="preserve">   </t>
    </r>
    <r>
      <rPr>
        <b/>
        <sz val="9"/>
        <rFont val="仿宋_GB2312"/>
        <charset val="134"/>
      </rPr>
      <t>计</t>
    </r>
  </si>
  <si>
    <r>
      <rPr>
        <b/>
        <sz val="9"/>
        <rFont val="仿宋_GB2312"/>
        <charset val="134"/>
      </rPr>
      <t>单位</t>
    </r>
  </si>
  <si>
    <r>
      <rPr>
        <b/>
        <sz val="9"/>
        <rFont val="仿宋_GB2312"/>
        <charset val="134"/>
      </rPr>
      <t>数量</t>
    </r>
  </si>
  <si>
    <r>
      <rPr>
        <b/>
        <sz val="9"/>
        <rFont val="仿宋_GB2312"/>
        <charset val="134"/>
      </rPr>
      <t xml:space="preserve">单位造价
</t>
    </r>
    <r>
      <rPr>
        <b/>
        <sz val="9"/>
        <rFont val="Times New Roman"/>
        <charset val="134"/>
      </rPr>
      <t>(</t>
    </r>
    <r>
      <rPr>
        <b/>
        <sz val="9"/>
        <rFont val="仿宋_GB2312"/>
        <charset val="134"/>
      </rPr>
      <t>万元</t>
    </r>
    <r>
      <rPr>
        <b/>
        <sz val="9"/>
        <rFont val="Times New Roman"/>
        <charset val="134"/>
      </rPr>
      <t>)</t>
    </r>
  </si>
  <si>
    <r>
      <rPr>
        <b/>
        <sz val="9"/>
        <rFont val="仿宋_GB2312"/>
        <charset val="134"/>
      </rPr>
      <t>一</t>
    </r>
  </si>
  <si>
    <r>
      <rPr>
        <b/>
        <sz val="9"/>
        <rFont val="仿宋_GB2312"/>
        <charset val="134"/>
      </rPr>
      <t>工程费用</t>
    </r>
  </si>
  <si>
    <t>黄家坝大院子</t>
  </si>
  <si>
    <t>详见概算书</t>
  </si>
  <si>
    <t>龙西小区</t>
  </si>
  <si>
    <t>龙水新大桥</t>
  </si>
  <si>
    <r>
      <rPr>
        <b/>
        <sz val="9"/>
        <rFont val="仿宋_GB2312"/>
        <charset val="134"/>
      </rPr>
      <t>二</t>
    </r>
  </si>
  <si>
    <r>
      <rPr>
        <b/>
        <sz val="9"/>
        <rFont val="仿宋_GB2312"/>
        <charset val="134"/>
      </rPr>
      <t>工程建设其他费用</t>
    </r>
  </si>
  <si>
    <r>
      <rPr>
        <b/>
        <sz val="9"/>
        <rFont val="仿宋_GB2312"/>
        <charset val="134"/>
      </rPr>
      <t>（一）</t>
    </r>
  </si>
  <si>
    <r>
      <rPr>
        <b/>
        <sz val="9"/>
        <rFont val="仿宋_GB2312"/>
        <charset val="134"/>
      </rPr>
      <t>前期工程费</t>
    </r>
  </si>
  <si>
    <r>
      <rPr>
        <sz val="9"/>
        <rFont val="仿宋_GB2312"/>
        <charset val="134"/>
      </rPr>
      <t>土地征用及补偿费</t>
    </r>
  </si>
  <si>
    <r>
      <rPr>
        <b/>
        <sz val="9"/>
        <rFont val="仿宋_GB2312"/>
        <charset val="134"/>
      </rPr>
      <t>（二）</t>
    </r>
  </si>
  <si>
    <r>
      <rPr>
        <b/>
        <sz val="9"/>
        <rFont val="仿宋_GB2312"/>
        <charset val="134"/>
      </rPr>
      <t>与项目建设有关的其他费用</t>
    </r>
  </si>
  <si>
    <t>项目建设管理费</t>
  </si>
  <si>
    <t>暂按送审金额计算</t>
  </si>
  <si>
    <r>
      <rPr>
        <sz val="9"/>
        <rFont val="仿宋_GB2312"/>
        <charset val="134"/>
      </rPr>
      <t>建设工程监理费</t>
    </r>
  </si>
  <si>
    <r>
      <rPr>
        <sz val="9"/>
        <rFont val="仿宋_GB2312"/>
        <charset val="134"/>
      </rPr>
      <t>按</t>
    </r>
    <r>
      <rPr>
        <sz val="9"/>
        <rFont val="Times New Roman"/>
        <charset val="134"/>
      </rPr>
      <t>2021</t>
    </r>
    <r>
      <rPr>
        <sz val="9"/>
        <rFont val="仿宋_GB2312"/>
        <charset val="134"/>
      </rPr>
      <t>年《重庆市建筑安装工程设计概算编制办法》并参考市场行情计算</t>
    </r>
  </si>
  <si>
    <t>暂按最小值计算</t>
  </si>
  <si>
    <r>
      <rPr>
        <sz val="9"/>
        <rFont val="仿宋_GB2312"/>
        <charset val="134"/>
      </rPr>
      <t>招标代理费</t>
    </r>
  </si>
  <si>
    <r>
      <rPr>
        <sz val="9"/>
        <rFont val="仿宋_GB2312"/>
        <charset val="134"/>
      </rPr>
      <t>按</t>
    </r>
    <r>
      <rPr>
        <sz val="9"/>
        <rFont val="Times New Roman"/>
        <charset val="134"/>
      </rPr>
      <t>2021</t>
    </r>
    <r>
      <rPr>
        <sz val="9"/>
        <rFont val="仿宋_GB2312"/>
        <charset val="134"/>
      </rPr>
      <t>年《重庆市建筑安装工程设计概算编制办法》计算</t>
    </r>
  </si>
  <si>
    <r>
      <rPr>
        <sz val="9"/>
        <rFont val="仿宋_GB2312"/>
        <charset val="134"/>
      </rPr>
      <t>前期工作费</t>
    </r>
  </si>
  <si>
    <r>
      <rPr>
        <sz val="9"/>
        <rFont val="仿宋_GB2312"/>
        <charset val="134"/>
      </rPr>
      <t>可行性研究费</t>
    </r>
  </si>
  <si>
    <t>按委托合同计列</t>
  </si>
  <si>
    <r>
      <rPr>
        <sz val="9"/>
        <rFont val="仿宋_GB2312"/>
        <charset val="134"/>
      </rPr>
      <t>工程勘察费</t>
    </r>
  </si>
  <si>
    <t>暂按均值计算</t>
  </si>
  <si>
    <t>工程设计费</t>
  </si>
  <si>
    <r>
      <rPr>
        <sz val="9"/>
        <rFont val="仿宋_GB2312"/>
        <charset val="134"/>
      </rPr>
      <t>咨询费</t>
    </r>
  </si>
  <si>
    <t>施工图审查费</t>
  </si>
  <si>
    <r>
      <rPr>
        <sz val="9"/>
        <rFont val="仿宋_GB2312"/>
        <charset val="134"/>
      </rPr>
      <t>工程造价咨询费</t>
    </r>
  </si>
  <si>
    <t>7.2.1</t>
  </si>
  <si>
    <r>
      <rPr>
        <sz val="9"/>
        <rFont val="仿宋_GB2312"/>
        <charset val="134"/>
      </rPr>
      <t>工程量清单及组价编制</t>
    </r>
  </si>
  <si>
    <t>7.2.2</t>
  </si>
  <si>
    <r>
      <rPr>
        <sz val="9"/>
        <rFont val="仿宋_GB2312"/>
        <charset val="134"/>
      </rPr>
      <t>工程量清单及组价审核</t>
    </r>
  </si>
  <si>
    <t>7.2.3</t>
  </si>
  <si>
    <t>工程量清单结算审核</t>
  </si>
  <si>
    <r>
      <rPr>
        <sz val="9"/>
        <rFont val="仿宋_GB2312"/>
        <charset val="134"/>
      </rPr>
      <t>工程保险费</t>
    </r>
  </si>
  <si>
    <r>
      <rPr>
        <sz val="9"/>
        <rFont val="仿宋_GB2312"/>
        <charset val="134"/>
      </rPr>
      <t>安全生产保障费</t>
    </r>
  </si>
  <si>
    <r>
      <rPr>
        <sz val="9"/>
        <rFont val="仿宋_GB2312"/>
        <charset val="134"/>
      </rPr>
      <t>其他费</t>
    </r>
  </si>
  <si>
    <t>10.1</t>
  </si>
  <si>
    <t>基建竣工财务决算</t>
  </si>
  <si>
    <t>渝价[2011]257号文</t>
  </si>
  <si>
    <r>
      <rPr>
        <b/>
        <sz val="9"/>
        <rFont val="仿宋_GB2312"/>
        <charset val="134"/>
      </rPr>
      <t>三</t>
    </r>
  </si>
  <si>
    <r>
      <rPr>
        <b/>
        <sz val="9"/>
        <rFont val="仿宋_GB2312"/>
        <charset val="134"/>
      </rPr>
      <t>预备费</t>
    </r>
  </si>
  <si>
    <r>
      <rPr>
        <sz val="9"/>
        <rFont val="仿宋_GB2312"/>
        <charset val="134"/>
      </rPr>
      <t>基本预备费</t>
    </r>
  </si>
  <si>
    <r>
      <rPr>
        <sz val="9"/>
        <rFont val="仿宋_GB2312"/>
        <charset val="134"/>
      </rPr>
      <t>（一</t>
    </r>
    <r>
      <rPr>
        <sz val="9"/>
        <rFont val="Times New Roman"/>
        <charset val="134"/>
      </rPr>
      <t>+</t>
    </r>
    <r>
      <rPr>
        <sz val="9"/>
        <rFont val="仿宋_GB2312"/>
        <charset val="134"/>
      </rPr>
      <t>二</t>
    </r>
    <r>
      <rPr>
        <sz val="9"/>
        <rFont val="Times New Roman"/>
        <charset val="134"/>
      </rPr>
      <t>-</t>
    </r>
    <r>
      <rPr>
        <sz val="9"/>
        <rFont val="仿宋_GB2312"/>
        <charset val="134"/>
      </rPr>
      <t>土地征用及补偿费）</t>
    </r>
    <r>
      <rPr>
        <sz val="9"/>
        <rFont val="Times New Roman"/>
        <charset val="134"/>
      </rPr>
      <t>*5%</t>
    </r>
  </si>
  <si>
    <r>
      <rPr>
        <b/>
        <sz val="9"/>
        <rFont val="仿宋_GB2312"/>
        <charset val="134"/>
      </rPr>
      <t>四</t>
    </r>
  </si>
  <si>
    <r>
      <rPr>
        <b/>
        <sz val="9"/>
        <rFont val="仿宋_GB2312"/>
        <charset val="134"/>
      </rPr>
      <t>建设项目总投资</t>
    </r>
  </si>
  <si>
    <r>
      <rPr>
        <b/>
        <sz val="9"/>
        <rFont val="仿宋_GB2312"/>
        <charset val="134"/>
      </rPr>
      <t>（一</t>
    </r>
    <r>
      <rPr>
        <b/>
        <sz val="9"/>
        <rFont val="Times New Roman"/>
        <charset val="134"/>
      </rPr>
      <t>+</t>
    </r>
    <r>
      <rPr>
        <b/>
        <sz val="9"/>
        <rFont val="仿宋_GB2312"/>
        <charset val="134"/>
      </rPr>
      <t>二</t>
    </r>
    <r>
      <rPr>
        <b/>
        <sz val="9"/>
        <rFont val="Times New Roman"/>
        <charset val="134"/>
      </rPr>
      <t>+</t>
    </r>
    <r>
      <rPr>
        <b/>
        <sz val="9"/>
        <rFont val="仿宋_GB2312"/>
        <charset val="134"/>
      </rPr>
      <t>三）</t>
    </r>
  </si>
  <si>
    <t>可研批复金额无，暂按评审概算投资计算</t>
  </si>
  <si>
    <r>
      <rPr>
        <b/>
        <sz val="18"/>
        <rFont val="仿宋_GB2312"/>
        <charset val="134"/>
      </rPr>
      <t>总</t>
    </r>
    <r>
      <rPr>
        <b/>
        <sz val="18"/>
        <rFont val="Times New Roman"/>
        <charset val="134"/>
      </rPr>
      <t xml:space="preserve"> </t>
    </r>
    <r>
      <rPr>
        <b/>
        <sz val="18"/>
        <rFont val="仿宋_GB2312"/>
        <charset val="134"/>
      </rPr>
      <t>投</t>
    </r>
    <r>
      <rPr>
        <b/>
        <sz val="18"/>
        <rFont val="Times New Roman"/>
        <charset val="134"/>
      </rPr>
      <t xml:space="preserve"> </t>
    </r>
    <r>
      <rPr>
        <b/>
        <sz val="18"/>
        <rFont val="仿宋_GB2312"/>
        <charset val="134"/>
      </rPr>
      <t>资</t>
    </r>
    <r>
      <rPr>
        <b/>
        <sz val="18"/>
        <rFont val="Times New Roman"/>
        <charset val="134"/>
      </rPr>
      <t xml:space="preserve"> </t>
    </r>
    <r>
      <rPr>
        <b/>
        <sz val="18"/>
        <rFont val="仿宋_GB2312"/>
        <charset val="134"/>
      </rPr>
      <t>概</t>
    </r>
    <r>
      <rPr>
        <b/>
        <sz val="18"/>
        <rFont val="Times New Roman"/>
        <charset val="134"/>
      </rPr>
      <t xml:space="preserve"> </t>
    </r>
    <r>
      <rPr>
        <b/>
        <sz val="18"/>
        <rFont val="仿宋_GB2312"/>
        <charset val="134"/>
      </rPr>
      <t>算</t>
    </r>
    <r>
      <rPr>
        <b/>
        <sz val="18"/>
        <rFont val="Times New Roman"/>
        <charset val="134"/>
      </rPr>
      <t xml:space="preserve"> </t>
    </r>
    <r>
      <rPr>
        <b/>
        <sz val="18"/>
        <rFont val="仿宋_GB2312"/>
        <charset val="134"/>
      </rPr>
      <t>对</t>
    </r>
    <r>
      <rPr>
        <b/>
        <sz val="18"/>
        <rFont val="Times New Roman"/>
        <charset val="134"/>
      </rPr>
      <t xml:space="preserve"> </t>
    </r>
    <r>
      <rPr>
        <b/>
        <sz val="18"/>
        <rFont val="仿宋_GB2312"/>
        <charset val="134"/>
      </rPr>
      <t>比</t>
    </r>
    <r>
      <rPr>
        <b/>
        <sz val="18"/>
        <rFont val="Times New Roman"/>
        <charset val="134"/>
      </rPr>
      <t xml:space="preserve"> </t>
    </r>
    <r>
      <rPr>
        <b/>
        <sz val="18"/>
        <rFont val="仿宋_GB2312"/>
        <charset val="134"/>
      </rPr>
      <t>表</t>
    </r>
  </si>
  <si>
    <t xml:space="preserve">单位：万元  </t>
  </si>
  <si>
    <r>
      <rPr>
        <b/>
        <sz val="9"/>
        <rFont val="仿宋_GB2312"/>
        <charset val="134"/>
      </rPr>
      <t>送</t>
    </r>
    <r>
      <rPr>
        <b/>
        <sz val="9"/>
        <rFont val="Times New Roman"/>
        <charset val="134"/>
      </rPr>
      <t xml:space="preserve"> </t>
    </r>
    <r>
      <rPr>
        <b/>
        <sz val="9"/>
        <rFont val="仿宋_GB2312"/>
        <charset val="134"/>
      </rPr>
      <t>审</t>
    </r>
    <r>
      <rPr>
        <b/>
        <sz val="9"/>
        <rFont val="Times New Roman"/>
        <charset val="134"/>
      </rPr>
      <t xml:space="preserve"> </t>
    </r>
    <r>
      <rPr>
        <b/>
        <sz val="9"/>
        <rFont val="仿宋_GB2312"/>
        <charset val="134"/>
      </rPr>
      <t>概</t>
    </r>
    <r>
      <rPr>
        <b/>
        <sz val="9"/>
        <rFont val="Times New Roman"/>
        <charset val="134"/>
      </rPr>
      <t xml:space="preserve"> </t>
    </r>
    <r>
      <rPr>
        <b/>
        <sz val="9"/>
        <rFont val="仿宋_GB2312"/>
        <charset val="134"/>
      </rPr>
      <t>算</t>
    </r>
  </si>
  <si>
    <r>
      <rPr>
        <b/>
        <sz val="9"/>
        <rFont val="仿宋_GB2312"/>
        <charset val="134"/>
      </rPr>
      <t>审</t>
    </r>
    <r>
      <rPr>
        <b/>
        <sz val="9"/>
        <rFont val="Times New Roman"/>
        <charset val="134"/>
      </rPr>
      <t xml:space="preserve"> </t>
    </r>
    <r>
      <rPr>
        <b/>
        <sz val="9"/>
        <rFont val="仿宋_GB2312"/>
        <charset val="134"/>
      </rPr>
      <t>定</t>
    </r>
    <r>
      <rPr>
        <b/>
        <sz val="9"/>
        <rFont val="Times New Roman"/>
        <charset val="134"/>
      </rPr>
      <t xml:space="preserve"> </t>
    </r>
    <r>
      <rPr>
        <b/>
        <sz val="9"/>
        <rFont val="仿宋_GB2312"/>
        <charset val="134"/>
      </rPr>
      <t>概</t>
    </r>
    <r>
      <rPr>
        <b/>
        <sz val="9"/>
        <rFont val="Times New Roman"/>
        <charset val="134"/>
      </rPr>
      <t xml:space="preserve"> </t>
    </r>
    <r>
      <rPr>
        <b/>
        <sz val="9"/>
        <rFont val="仿宋_GB2312"/>
        <charset val="134"/>
      </rPr>
      <t>算</t>
    </r>
  </si>
  <si>
    <r>
      <rPr>
        <b/>
        <sz val="9"/>
        <rFont val="仿宋_GB2312"/>
        <charset val="134"/>
      </rPr>
      <t>审增审减金额</t>
    </r>
  </si>
  <si>
    <r>
      <rPr>
        <b/>
        <sz val="9"/>
        <rFont val="仿宋_GB2312"/>
        <charset val="134"/>
      </rPr>
      <t>审增审减百分比</t>
    </r>
  </si>
  <si>
    <t>备注</t>
  </si>
  <si>
    <t>（二）</t>
  </si>
  <si>
    <t>与项目建设有关的其他费用</t>
  </si>
  <si>
    <t>工程量清单及组价审核</t>
  </si>
  <si>
    <t>三</t>
  </si>
  <si>
    <t>预备费</t>
  </si>
  <si>
    <t>（一+二+三）</t>
  </si>
</sst>
</file>

<file path=xl/styles.xml><?xml version="1.0" encoding="utf-8"?>
<styleSheet xmlns="http://schemas.openxmlformats.org/spreadsheetml/2006/main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0_);[Red]\(0.000\)"/>
    <numFmt numFmtId="178" formatCode="0.00_ "/>
    <numFmt numFmtId="179" formatCode="0_);[Red]\(0\)"/>
    <numFmt numFmtId="180" formatCode="0.00;_尀"/>
    <numFmt numFmtId="181" formatCode="0.0_);[Red]\(0.0\)"/>
  </numFmts>
  <fonts count="37">
    <font>
      <sz val="11"/>
      <color indexed="8"/>
      <name val="宋体"/>
      <charset val="134"/>
    </font>
    <font>
      <sz val="9"/>
      <name val="Times New Roman"/>
      <charset val="134"/>
    </font>
    <font>
      <b/>
      <sz val="9"/>
      <name val="Times New Roman"/>
      <charset val="134"/>
    </font>
    <font>
      <sz val="9"/>
      <name val="仿宋_GB2312"/>
      <charset val="134"/>
    </font>
    <font>
      <b/>
      <sz val="18"/>
      <name val="Times New Roman"/>
      <charset val="134"/>
    </font>
    <font>
      <b/>
      <sz val="9"/>
      <name val="仿宋_GB2312"/>
      <charset val="134"/>
    </font>
    <font>
      <b/>
      <sz val="9"/>
      <color rgb="FFFF0000"/>
      <name val="Times New Roman"/>
      <charset val="134"/>
    </font>
    <font>
      <sz val="9"/>
      <color indexed="10"/>
      <name val="仿宋_GB2312"/>
      <charset val="134"/>
    </font>
    <font>
      <sz val="9"/>
      <name val="宋体"/>
      <charset val="134"/>
    </font>
    <font>
      <sz val="9"/>
      <color indexed="10"/>
      <name val="Times New Roman"/>
      <charset val="134"/>
    </font>
    <font>
      <b/>
      <sz val="9"/>
      <color rgb="FFFF00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name val="宋体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2"/>
      <color indexed="8"/>
      <name val="宋体"/>
      <charset val="134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color indexed="8"/>
      <name val="Arial"/>
      <charset val="134"/>
    </font>
    <font>
      <b/>
      <sz val="18"/>
      <name val="仿宋_GB2312"/>
      <charset val="134"/>
    </font>
    <font>
      <b/>
      <sz val="9"/>
      <name val="宋体"/>
      <charset val="134"/>
    </font>
    <font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5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5" borderId="8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41" fontId="11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9" borderId="9" applyNumberFormat="0" applyFont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0">
      <alignment vertical="center"/>
    </xf>
    <xf numFmtId="0" fontId="25" fillId="0" borderId="10" applyNumberFormat="0" applyFill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26" fillId="13" borderId="12" applyNumberFormat="0" applyAlignment="0" applyProtection="0">
      <alignment vertical="center"/>
    </xf>
    <xf numFmtId="0" fontId="27" fillId="13" borderId="8" applyNumberFormat="0" applyAlignment="0" applyProtection="0">
      <alignment vertical="center"/>
    </xf>
    <xf numFmtId="0" fontId="28" fillId="14" borderId="13" applyNumberFormat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30" fillId="0" borderId="15" applyNumberFormat="0" applyFill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14" fillId="0" borderId="0"/>
    <xf numFmtId="0" fontId="32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4" fillId="0" borderId="0"/>
    <xf numFmtId="0" fontId="12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4" fillId="0" borderId="0">
      <alignment vertical="center"/>
    </xf>
    <xf numFmtId="0" fontId="16" fillId="29" borderId="0" applyNumberFormat="0" applyBorder="0" applyAlignment="0" applyProtection="0">
      <alignment vertical="center"/>
    </xf>
    <xf numFmtId="0" fontId="14" fillId="0" borderId="0">
      <alignment vertical="center"/>
    </xf>
    <xf numFmtId="0" fontId="12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4" fillId="0" borderId="0">
      <alignment vertical="center"/>
    </xf>
    <xf numFmtId="0" fontId="12" fillId="33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4" fillId="0" borderId="0">
      <alignment vertical="center"/>
    </xf>
    <xf numFmtId="0" fontId="33" fillId="0" borderId="0"/>
    <xf numFmtId="0" fontId="14" fillId="0" borderId="0"/>
    <xf numFmtId="0" fontId="14" fillId="0" borderId="0"/>
    <xf numFmtId="0" fontId="11" fillId="0" borderId="0">
      <alignment vertical="center"/>
    </xf>
    <xf numFmtId="0" fontId="14" fillId="0" borderId="0"/>
    <xf numFmtId="0" fontId="14" fillId="0" borderId="0">
      <alignment vertical="center"/>
    </xf>
    <xf numFmtId="0" fontId="14" fillId="0" borderId="0">
      <alignment vertical="center"/>
    </xf>
  </cellStyleXfs>
  <cellXfs count="115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>
      <alignment vertical="center"/>
    </xf>
    <xf numFmtId="0" fontId="2" fillId="0" borderId="0" xfId="22" applyFont="1" applyFill="1" applyAlignment="1">
      <alignment vertical="center"/>
    </xf>
    <xf numFmtId="0" fontId="1" fillId="2" borderId="0" xfId="0" applyFont="1" applyFill="1">
      <alignment vertical="center"/>
    </xf>
    <xf numFmtId="0" fontId="1" fillId="0" borderId="0" xfId="0" applyNumberFormat="1" applyFont="1" applyFill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176" fontId="1" fillId="0" borderId="0" xfId="0" applyNumberFormat="1" applyFont="1" applyFill="1" applyAlignment="1">
      <alignment vertical="center"/>
    </xf>
    <xf numFmtId="177" fontId="1" fillId="0" borderId="0" xfId="0" applyNumberFormat="1" applyFont="1" applyFill="1" applyAlignment="1">
      <alignment vertical="center"/>
    </xf>
    <xf numFmtId="0" fontId="3" fillId="0" borderId="0" xfId="0" applyFont="1" applyFill="1">
      <alignment vertical="center"/>
    </xf>
    <xf numFmtId="178" fontId="1" fillId="0" borderId="0" xfId="0" applyNumberFormat="1" applyFont="1" applyFill="1">
      <alignment vertical="center"/>
    </xf>
    <xf numFmtId="0" fontId="1" fillId="0" borderId="0" xfId="0" applyFont="1" applyFill="1">
      <alignment vertical="center"/>
    </xf>
    <xf numFmtId="176" fontId="4" fillId="0" borderId="0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 wrapText="1"/>
    </xf>
    <xf numFmtId="176" fontId="2" fillId="0" borderId="2" xfId="22" applyNumberFormat="1" applyFont="1" applyFill="1" applyBorder="1" applyAlignment="1">
      <alignment horizontal="center" vertical="center"/>
    </xf>
    <xf numFmtId="176" fontId="1" fillId="0" borderId="2" xfId="22" applyNumberFormat="1" applyFont="1" applyFill="1" applyBorder="1" applyAlignment="1">
      <alignment horizontal="center" vertical="center"/>
    </xf>
    <xf numFmtId="49" fontId="2" fillId="0" borderId="2" xfId="22" applyNumberFormat="1" applyFont="1" applyFill="1" applyBorder="1" applyAlignment="1">
      <alignment horizontal="center" vertical="center"/>
    </xf>
    <xf numFmtId="176" fontId="2" fillId="0" borderId="2" xfId="22" applyNumberFormat="1" applyFont="1" applyFill="1" applyBorder="1" applyAlignment="1">
      <alignment vertical="center"/>
    </xf>
    <xf numFmtId="176" fontId="2" fillId="0" borderId="2" xfId="62" applyNumberFormat="1" applyFont="1" applyFill="1" applyBorder="1" applyAlignment="1">
      <alignment horizontal="center" vertical="center" wrapText="1"/>
    </xf>
    <xf numFmtId="49" fontId="1" fillId="0" borderId="2" xfId="22" applyNumberFormat="1" applyFont="1" applyFill="1" applyBorder="1" applyAlignment="1">
      <alignment horizontal="center" vertical="center"/>
    </xf>
    <xf numFmtId="176" fontId="1" fillId="0" borderId="2" xfId="22" applyNumberFormat="1" applyFont="1" applyFill="1" applyBorder="1" applyAlignment="1">
      <alignment vertical="center"/>
    </xf>
    <xf numFmtId="176" fontId="1" fillId="0" borderId="2" xfId="62" applyNumberFormat="1" applyFont="1" applyFill="1" applyBorder="1" applyAlignment="1">
      <alignment horizontal="center" vertical="center" wrapText="1"/>
    </xf>
    <xf numFmtId="176" fontId="1" fillId="0" borderId="2" xfId="62" applyNumberFormat="1" applyFont="1" applyBorder="1" applyAlignment="1">
      <alignment horizontal="center" vertical="center" wrapText="1"/>
    </xf>
    <xf numFmtId="176" fontId="2" fillId="0" borderId="3" xfId="62" applyNumberFormat="1" applyFont="1" applyFill="1" applyBorder="1" applyAlignment="1">
      <alignment horizontal="center" vertical="center" wrapText="1"/>
    </xf>
    <xf numFmtId="176" fontId="2" fillId="0" borderId="4" xfId="62" applyNumberFormat="1" applyFont="1" applyFill="1" applyBorder="1" applyAlignment="1">
      <alignment horizontal="center" vertical="center" wrapText="1"/>
    </xf>
    <xf numFmtId="176" fontId="2" fillId="0" borderId="5" xfId="62" applyNumberFormat="1" applyFont="1" applyFill="1" applyBorder="1" applyAlignment="1">
      <alignment horizontal="center" vertical="center" wrapText="1"/>
    </xf>
    <xf numFmtId="176" fontId="2" fillId="0" borderId="2" xfId="62" applyNumberFormat="1" applyFont="1" applyBorder="1" applyAlignment="1">
      <alignment horizontal="center" vertical="center" wrapText="1"/>
    </xf>
    <xf numFmtId="0" fontId="2" fillId="0" borderId="2" xfId="62" applyFont="1" applyFill="1" applyBorder="1" applyAlignment="1">
      <alignment horizontal="center" vertical="center" wrapText="1"/>
    </xf>
    <xf numFmtId="0" fontId="2" fillId="0" borderId="2" xfId="62" applyFont="1" applyFill="1" applyBorder="1" applyAlignment="1">
      <alignment vertical="center" wrapText="1"/>
    </xf>
    <xf numFmtId="0" fontId="1" fillId="0" borderId="2" xfId="62" applyFont="1" applyFill="1" applyBorder="1" applyAlignment="1">
      <alignment horizontal="center" vertical="center" wrapText="1"/>
    </xf>
    <xf numFmtId="0" fontId="1" fillId="0" borderId="2" xfId="62" applyFont="1" applyFill="1" applyBorder="1" applyAlignment="1">
      <alignment horizontal="left" vertical="center" wrapText="1"/>
    </xf>
    <xf numFmtId="176" fontId="1" fillId="0" borderId="3" xfId="62" applyNumberFormat="1" applyFont="1" applyFill="1" applyBorder="1" applyAlignment="1">
      <alignment horizontal="center" vertical="center" wrapText="1"/>
    </xf>
    <xf numFmtId="176" fontId="1" fillId="0" borderId="4" xfId="62" applyNumberFormat="1" applyFont="1" applyFill="1" applyBorder="1" applyAlignment="1">
      <alignment horizontal="center" vertical="center" wrapText="1"/>
    </xf>
    <xf numFmtId="0" fontId="5" fillId="0" borderId="2" xfId="62" applyFont="1" applyFill="1" applyBorder="1" applyAlignment="1">
      <alignment horizontal="center" vertical="center" wrapText="1"/>
    </xf>
    <xf numFmtId="0" fontId="5" fillId="0" borderId="2" xfId="62" applyFont="1" applyFill="1" applyBorder="1" applyAlignment="1">
      <alignment vertical="center" wrapText="1"/>
    </xf>
    <xf numFmtId="176" fontId="2" fillId="0" borderId="3" xfId="42" applyNumberFormat="1" applyFont="1" applyFill="1" applyBorder="1" applyAlignment="1">
      <alignment horizontal="center" vertical="center" wrapText="1"/>
    </xf>
    <xf numFmtId="176" fontId="2" fillId="0" borderId="4" xfId="42" applyNumberFormat="1" applyFont="1" applyFill="1" applyBorder="1" applyAlignment="1">
      <alignment horizontal="center" vertical="center" wrapText="1"/>
    </xf>
    <xf numFmtId="176" fontId="2" fillId="0" borderId="5" xfId="42" applyNumberFormat="1" applyFont="1" applyFill="1" applyBorder="1" applyAlignment="1">
      <alignment horizontal="center" vertical="center" wrapText="1"/>
    </xf>
    <xf numFmtId="176" fontId="6" fillId="0" borderId="2" xfId="42" applyNumberFormat="1" applyFont="1" applyFill="1" applyBorder="1" applyAlignment="1">
      <alignment horizontal="center" vertical="center" wrapText="1"/>
    </xf>
    <xf numFmtId="179" fontId="1" fillId="0" borderId="2" xfId="42" applyNumberFormat="1" applyFont="1" applyFill="1" applyBorder="1" applyAlignment="1">
      <alignment horizontal="center" vertical="center" wrapText="1"/>
    </xf>
    <xf numFmtId="178" fontId="1" fillId="0" borderId="2" xfId="42" applyNumberFormat="1" applyFont="1" applyFill="1" applyBorder="1" applyAlignment="1">
      <alignment horizontal="left" vertical="center" wrapText="1"/>
    </xf>
    <xf numFmtId="176" fontId="1" fillId="0" borderId="3" xfId="42" applyNumberFormat="1" applyFont="1" applyFill="1" applyBorder="1" applyAlignment="1">
      <alignment horizontal="center" vertical="center" wrapText="1"/>
    </xf>
    <xf numFmtId="176" fontId="1" fillId="0" borderId="4" xfId="42" applyNumberFormat="1" applyFont="1" applyFill="1" applyBorder="1" applyAlignment="1">
      <alignment horizontal="center" vertical="center" wrapText="1"/>
    </xf>
    <xf numFmtId="176" fontId="1" fillId="0" borderId="5" xfId="42" applyNumberFormat="1" applyFont="1" applyFill="1" applyBorder="1" applyAlignment="1">
      <alignment horizontal="center" vertical="center" wrapText="1"/>
    </xf>
    <xf numFmtId="180" fontId="1" fillId="0" borderId="2" xfId="5" applyNumberFormat="1" applyFont="1" applyFill="1" applyBorder="1" applyAlignment="1">
      <alignment horizontal="center" vertical="center" wrapText="1"/>
    </xf>
    <xf numFmtId="180" fontId="1" fillId="0" borderId="2" xfId="64" applyNumberFormat="1" applyFont="1" applyFill="1" applyBorder="1" applyAlignment="1">
      <alignment horizontal="center" vertical="center" wrapText="1"/>
    </xf>
    <xf numFmtId="181" fontId="1" fillId="0" borderId="2" xfId="42" applyNumberFormat="1" applyFont="1" applyFill="1" applyBorder="1" applyAlignment="1">
      <alignment horizontal="center" vertical="center" wrapText="1"/>
    </xf>
    <xf numFmtId="178" fontId="3" fillId="0" borderId="2" xfId="42" applyNumberFormat="1" applyFont="1" applyFill="1" applyBorder="1" applyAlignment="1">
      <alignment horizontal="left" vertical="center" wrapText="1"/>
    </xf>
    <xf numFmtId="176" fontId="1" fillId="0" borderId="2" xfId="42" applyNumberFormat="1" applyFont="1" applyFill="1" applyBorder="1" applyAlignment="1">
      <alignment horizontal="center" vertical="center" wrapText="1"/>
    </xf>
    <xf numFmtId="176" fontId="1" fillId="0" borderId="5" xfId="62" applyNumberFormat="1" applyFont="1" applyFill="1" applyBorder="1" applyAlignment="1">
      <alignment horizontal="center" vertical="center" wrapText="1"/>
    </xf>
    <xf numFmtId="176" fontId="1" fillId="0" borderId="2" xfId="35" applyNumberFormat="1" applyFont="1" applyFill="1" applyBorder="1" applyAlignment="1">
      <alignment horizontal="center" vertical="center" wrapText="1"/>
    </xf>
    <xf numFmtId="49" fontId="1" fillId="0" borderId="2" xfId="42" applyNumberFormat="1" applyFont="1" applyFill="1" applyBorder="1" applyAlignment="1">
      <alignment horizontal="center" vertical="center" wrapText="1"/>
    </xf>
    <xf numFmtId="49" fontId="5" fillId="0" borderId="2" xfId="22" applyNumberFormat="1" applyFont="1" applyFill="1" applyBorder="1" applyAlignment="1">
      <alignment horizontal="center" vertical="center"/>
    </xf>
    <xf numFmtId="0" fontId="5" fillId="0" borderId="2" xfId="22" applyFont="1" applyFill="1" applyBorder="1" applyAlignment="1">
      <alignment vertical="center" wrapText="1"/>
    </xf>
    <xf numFmtId="0" fontId="1" fillId="0" borderId="2" xfId="22" applyFont="1" applyFill="1" applyBorder="1" applyAlignment="1">
      <alignment vertical="center" wrapText="1"/>
    </xf>
    <xf numFmtId="176" fontId="6" fillId="0" borderId="2" xfId="62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177" fontId="1" fillId="0" borderId="0" xfId="0" applyNumberFormat="1" applyFont="1" applyFill="1" applyBorder="1" applyAlignment="1">
      <alignment vertical="center" wrapText="1"/>
    </xf>
    <xf numFmtId="176" fontId="3" fillId="0" borderId="0" xfId="0" applyNumberFormat="1" applyFont="1" applyFill="1" applyBorder="1" applyAlignment="1">
      <alignment horizontal="center" vertical="center"/>
    </xf>
    <xf numFmtId="178" fontId="1" fillId="0" borderId="0" xfId="0" applyNumberFormat="1" applyFont="1" applyFill="1" applyAlignment="1">
      <alignment vertical="center"/>
    </xf>
    <xf numFmtId="178" fontId="2" fillId="0" borderId="6" xfId="22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178" fontId="2" fillId="0" borderId="0" xfId="0" applyNumberFormat="1" applyFont="1" applyFill="1">
      <alignment vertical="center"/>
    </xf>
    <xf numFmtId="178" fontId="2" fillId="0" borderId="7" xfId="22" applyNumberFormat="1" applyFont="1" applyFill="1" applyBorder="1" applyAlignment="1">
      <alignment horizontal="center" vertical="center" wrapText="1"/>
    </xf>
    <xf numFmtId="178" fontId="2" fillId="0" borderId="2" xfId="22" applyNumberFormat="1" applyFont="1" applyFill="1" applyBorder="1" applyAlignment="1">
      <alignment horizontal="center" vertical="center"/>
    </xf>
    <xf numFmtId="10" fontId="2" fillId="0" borderId="2" xfId="22" applyNumberFormat="1" applyFont="1" applyFill="1" applyBorder="1" applyAlignment="1">
      <alignment horizontal="center" vertical="center"/>
    </xf>
    <xf numFmtId="0" fontId="3" fillId="0" borderId="2" xfId="22" applyFont="1" applyFill="1" applyBorder="1" applyAlignment="1">
      <alignment vertical="center"/>
    </xf>
    <xf numFmtId="178" fontId="2" fillId="0" borderId="0" xfId="22" applyNumberFormat="1" applyFont="1" applyFill="1" applyAlignment="1">
      <alignment vertical="center"/>
    </xf>
    <xf numFmtId="178" fontId="1" fillId="0" borderId="2" xfId="62" applyNumberFormat="1" applyFont="1" applyBorder="1" applyAlignment="1">
      <alignment horizontal="center" vertical="center" wrapText="1"/>
    </xf>
    <xf numFmtId="178" fontId="1" fillId="0" borderId="2" xfId="22" applyNumberFormat="1" applyFont="1" applyFill="1" applyBorder="1" applyAlignment="1">
      <alignment horizontal="center" vertical="center"/>
    </xf>
    <xf numFmtId="10" fontId="1" fillId="0" borderId="2" xfId="22" applyNumberFormat="1" applyFont="1" applyFill="1" applyBorder="1" applyAlignment="1">
      <alignment horizontal="center" vertical="center"/>
    </xf>
    <xf numFmtId="0" fontId="7" fillId="0" borderId="2" xfId="62" applyFont="1" applyFill="1" applyBorder="1" applyAlignment="1">
      <alignment horizontal="left" vertical="center" wrapText="1"/>
    </xf>
    <xf numFmtId="176" fontId="2" fillId="0" borderId="2" xfId="42" applyNumberFormat="1" applyFont="1" applyFill="1" applyBorder="1" applyAlignment="1">
      <alignment horizontal="center" vertical="center" wrapText="1"/>
    </xf>
    <xf numFmtId="176" fontId="3" fillId="0" borderId="2" xfId="22" applyNumberFormat="1" applyFont="1" applyFill="1" applyBorder="1" applyAlignment="1">
      <alignment horizontal="left" vertical="center" wrapText="1"/>
    </xf>
    <xf numFmtId="178" fontId="1" fillId="2" borderId="0" xfId="0" applyNumberFormat="1" applyFont="1" applyFill="1">
      <alignment vertical="center"/>
    </xf>
    <xf numFmtId="0" fontId="3" fillId="0" borderId="2" xfId="22" applyFont="1" applyFill="1" applyBorder="1" applyAlignment="1">
      <alignment vertical="center" wrapText="1"/>
    </xf>
    <xf numFmtId="0" fontId="3" fillId="0" borderId="2" xfId="42" applyFont="1" applyFill="1" applyBorder="1" applyAlignment="1">
      <alignment horizontal="left" vertical="center" wrapText="1"/>
    </xf>
    <xf numFmtId="0" fontId="5" fillId="0" borderId="2" xfId="62" applyFont="1" applyFill="1" applyBorder="1" applyAlignment="1">
      <alignment horizontal="left" vertical="center" wrapText="1"/>
    </xf>
    <xf numFmtId="10" fontId="1" fillId="0" borderId="0" xfId="0" applyNumberFormat="1" applyFont="1" applyFill="1" applyAlignment="1">
      <alignment vertical="center"/>
    </xf>
    <xf numFmtId="0" fontId="2" fillId="2" borderId="0" xfId="22" applyFont="1" applyFill="1" applyAlignment="1">
      <alignment vertical="center"/>
    </xf>
    <xf numFmtId="0" fontId="1" fillId="3" borderId="0" xfId="0" applyFont="1" applyFill="1">
      <alignment vertical="center"/>
    </xf>
    <xf numFmtId="176" fontId="8" fillId="0" borderId="2" xfId="22" applyNumberFormat="1" applyFont="1" applyFill="1" applyBorder="1" applyAlignment="1">
      <alignment vertical="center"/>
    </xf>
    <xf numFmtId="178" fontId="1" fillId="0" borderId="2" xfId="62" applyNumberFormat="1" applyFont="1" applyFill="1" applyBorder="1" applyAlignment="1">
      <alignment horizontal="center" vertical="center" wrapText="1"/>
    </xf>
    <xf numFmtId="0" fontId="8" fillId="0" borderId="2" xfId="22" applyFont="1" applyFill="1" applyBorder="1" applyAlignment="1">
      <alignment vertical="center" wrapText="1"/>
    </xf>
    <xf numFmtId="0" fontId="2" fillId="0" borderId="2" xfId="58" applyFont="1" applyFill="1" applyBorder="1" applyAlignment="1">
      <alignment horizontal="center" vertical="center"/>
    </xf>
    <xf numFmtId="176" fontId="1" fillId="0" borderId="2" xfId="0" applyNumberFormat="1" applyFont="1" applyFill="1" applyBorder="1" applyAlignment="1">
      <alignment vertical="center"/>
    </xf>
    <xf numFmtId="176" fontId="1" fillId="0" borderId="2" xfId="0" applyNumberFormat="1" applyFont="1" applyFill="1" applyBorder="1" applyAlignment="1">
      <alignment horizontal="center" vertical="center"/>
    </xf>
    <xf numFmtId="176" fontId="1" fillId="0" borderId="0" xfId="42" applyNumberFormat="1" applyFont="1" applyAlignment="1">
      <alignment vertical="center"/>
    </xf>
    <xf numFmtId="176" fontId="1" fillId="0" borderId="0" xfId="42" applyNumberFormat="1" applyFont="1" applyFill="1" applyAlignment="1">
      <alignment vertical="center"/>
    </xf>
    <xf numFmtId="176" fontId="3" fillId="2" borderId="0" xfId="42" applyNumberFormat="1" applyFont="1" applyFill="1" applyAlignment="1">
      <alignment horizontal="center" vertical="center" wrapText="1"/>
    </xf>
    <xf numFmtId="176" fontId="1" fillId="2" borderId="0" xfId="42" applyNumberFormat="1" applyFont="1" applyFill="1" applyAlignment="1">
      <alignment horizontal="center" vertical="center"/>
    </xf>
    <xf numFmtId="176" fontId="1" fillId="0" borderId="0" xfId="42" applyNumberFormat="1" applyFont="1" applyFill="1" applyAlignment="1">
      <alignment horizontal="center" vertical="center" wrapText="1"/>
    </xf>
    <xf numFmtId="178" fontId="1" fillId="0" borderId="0" xfId="42" applyNumberFormat="1" applyFont="1" applyFill="1" applyAlignment="1">
      <alignment horizontal="center" vertical="center"/>
    </xf>
    <xf numFmtId="176" fontId="1" fillId="0" borderId="0" xfId="0" applyNumberFormat="1" applyFont="1" applyFill="1" applyBorder="1" applyAlignment="1">
      <alignment horizontal="right" vertical="center"/>
    </xf>
    <xf numFmtId="0" fontId="2" fillId="0" borderId="2" xfId="0" applyFont="1" applyFill="1" applyBorder="1" applyAlignment="1">
      <alignment horizontal="center" vertical="center"/>
    </xf>
    <xf numFmtId="177" fontId="2" fillId="0" borderId="2" xfId="0" applyNumberFormat="1" applyFont="1" applyFill="1" applyBorder="1" applyAlignment="1">
      <alignment horizontal="center" vertical="center" wrapText="1"/>
    </xf>
    <xf numFmtId="177" fontId="2" fillId="0" borderId="2" xfId="22" applyNumberFormat="1" applyFont="1" applyFill="1" applyBorder="1" applyAlignment="1">
      <alignment horizontal="center" vertical="center"/>
    </xf>
    <xf numFmtId="176" fontId="2" fillId="0" borderId="2" xfId="13" applyNumberFormat="1" applyFont="1" applyFill="1" applyBorder="1" applyAlignment="1">
      <alignment horizontal="center" vertical="center"/>
    </xf>
    <xf numFmtId="0" fontId="1" fillId="0" borderId="2" xfId="22" applyFont="1" applyFill="1" applyBorder="1" applyAlignment="1">
      <alignment vertical="center"/>
    </xf>
    <xf numFmtId="177" fontId="1" fillId="0" borderId="2" xfId="22" applyNumberFormat="1" applyFont="1" applyFill="1" applyBorder="1" applyAlignment="1">
      <alignment horizontal="center" vertical="center"/>
    </xf>
    <xf numFmtId="176" fontId="1" fillId="0" borderId="2" xfId="13" applyNumberFormat="1" applyFont="1" applyFill="1" applyBorder="1" applyAlignment="1">
      <alignment horizontal="center" vertical="center"/>
    </xf>
    <xf numFmtId="0" fontId="8" fillId="0" borderId="2" xfId="22" applyFont="1" applyFill="1" applyBorder="1" applyAlignment="1">
      <alignment vertical="center"/>
    </xf>
    <xf numFmtId="0" fontId="9" fillId="0" borderId="2" xfId="42" applyFont="1" applyFill="1" applyBorder="1" applyAlignment="1">
      <alignment horizontal="left" vertical="center" wrapText="1"/>
    </xf>
    <xf numFmtId="0" fontId="1" fillId="0" borderId="2" xfId="42" applyFont="1" applyFill="1" applyBorder="1" applyAlignment="1">
      <alignment horizontal="left" vertical="center" wrapText="1"/>
    </xf>
    <xf numFmtId="177" fontId="1" fillId="0" borderId="2" xfId="0" applyNumberFormat="1" applyFont="1" applyFill="1" applyBorder="1" applyAlignment="1">
      <alignment vertical="center"/>
    </xf>
    <xf numFmtId="180" fontId="1" fillId="0" borderId="0" xfId="5" applyNumberFormat="1" applyFont="1" applyFill="1" applyBorder="1" applyAlignment="1">
      <alignment horizontal="center" vertical="center" wrapText="1"/>
    </xf>
    <xf numFmtId="0" fontId="8" fillId="0" borderId="0" xfId="0" applyFont="1" applyFill="1">
      <alignment vertical="center"/>
    </xf>
    <xf numFmtId="0" fontId="1" fillId="0" borderId="6" xfId="42" applyFont="1" applyFill="1" applyBorder="1" applyAlignment="1">
      <alignment horizontal="left" vertical="center" wrapText="1"/>
    </xf>
    <xf numFmtId="0" fontId="8" fillId="0" borderId="2" xfId="42" applyFont="1" applyFill="1" applyBorder="1" applyAlignment="1">
      <alignment horizontal="left" vertical="center" wrapText="1"/>
    </xf>
    <xf numFmtId="0" fontId="10" fillId="0" borderId="0" xfId="0" applyFont="1" applyFill="1">
      <alignment vertical="center"/>
    </xf>
    <xf numFmtId="0" fontId="1" fillId="0" borderId="2" xfId="42" applyFont="1" applyFill="1" applyBorder="1" applyAlignment="1">
      <alignment vertical="center" wrapText="1"/>
    </xf>
    <xf numFmtId="0" fontId="2" fillId="0" borderId="2" xfId="42" applyFont="1" applyFill="1" applyBorder="1" applyAlignment="1">
      <alignment horizontal="left" vertical="center" wrapText="1"/>
    </xf>
  </cellXfs>
  <cellStyles count="6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_东西向空港大道工程6.7调整 2 2 2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常规_大足县大龙工业大道11.07" xfId="12"/>
    <cellStyle name="百分比" xfId="13" builtinId="5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常规_蔡家组团L、R标准分区道路工程横二路R区段概算总表" xfId="22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常规 7 2 2" xfId="35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常规 7 2" xfId="42"/>
    <cellStyle name="40% - 强调文字颜色 2" xfId="43" builtinId="35"/>
    <cellStyle name="强调文字颜色 3" xfId="44" builtinId="37"/>
    <cellStyle name="强调文字颜色 4" xfId="45" builtinId="41"/>
    <cellStyle name="20% - 强调文字颜色 4" xfId="46" builtinId="42"/>
    <cellStyle name="40% - 强调文字颜色 4" xfId="47" builtinId="43"/>
    <cellStyle name="常规 17 2" xfId="48"/>
    <cellStyle name="强调文字颜色 5" xfId="49" builtinId="45"/>
    <cellStyle name="常规 2 2" xfId="50"/>
    <cellStyle name="40% - 强调文字颜色 5" xfId="51" builtinId="47"/>
    <cellStyle name="60% - 强调文字颜色 5" xfId="52" builtinId="48"/>
    <cellStyle name="强调文字颜色 6" xfId="53" builtinId="49"/>
    <cellStyle name="常规 10" xfId="54"/>
    <cellStyle name="40% - 强调文字颜色 6" xfId="55" builtinId="51"/>
    <cellStyle name="60% - 强调文字颜色 6" xfId="56" builtinId="52"/>
    <cellStyle name="常规 10 4" xfId="57"/>
    <cellStyle name="常规 4" xfId="58"/>
    <cellStyle name="常规 4 3" xfId="59"/>
    <cellStyle name="常规 5" xfId="60"/>
    <cellStyle name="常规 5 2 2 2" xfId="61"/>
    <cellStyle name="常规 7" xfId="62"/>
    <cellStyle name="常规_东西向空港大道工程6.7调整 2" xfId="63"/>
    <cellStyle name="常规_东西向空港大道工程6.7调整 2 2" xfId="64"/>
  </cellStyles>
  <dxfs count="1">
    <dxf>
      <font>
        <color indexed="9"/>
      </font>
    </dxf>
  </dxf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6.xml"/><Relationship Id="rId8" Type="http://schemas.openxmlformats.org/officeDocument/2006/relationships/externalLink" Target="externalLinks/externalLink5.xml"/><Relationship Id="rId7" Type="http://schemas.openxmlformats.org/officeDocument/2006/relationships/externalLink" Target="externalLinks/externalLink4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externalLink" Target="externalLinks/externalLink11.xml"/><Relationship Id="rId13" Type="http://schemas.openxmlformats.org/officeDocument/2006/relationships/externalLink" Target="externalLinks/externalLink10.xml"/><Relationship Id="rId12" Type="http://schemas.openxmlformats.org/officeDocument/2006/relationships/externalLink" Target="externalLinks/externalLink9.xml"/><Relationship Id="rId11" Type="http://schemas.openxmlformats.org/officeDocument/2006/relationships/externalLink" Target="externalLinks/externalLink8.xml"/><Relationship Id="rId10" Type="http://schemas.openxmlformats.org/officeDocument/2006/relationships/externalLink" Target="externalLinks/externalLink7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GP\GP_Ph1\SBB-OIs\Hel-OIs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PathMissing" Target="#REF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3&#22823;&#36275;&#21306;2022&#24180;&#25490;&#27700;&#31649;&#32593;&#25972;&#27835;&#21450;&#32500;&#25252;&#24037;&#31243;-&#24635;&#25237;&#36164;&#27010;&#31639;&#3492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Documents%20and%20Settings\Administrator\Local%20Settings\Temporary%20Internet%20Files\&#36842;&#36187;&#20896;&#21326;_&#21326;&#26862;&#21046;&#33647;_20100310(6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GP\tamer\WINDOWS\GP_A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CHR\ARBEJDE\Q4DK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Backup%20of%20Backup%20of%20LINDA%20LISTONE.xlk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GOLDPYR4\ARENTO\TOOLBOX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fnl-gp2\ToolboxGP\Kor\OSP_Becht_Fin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037;&#20316;\&#33258;&#21160;&#25509;&#25910;2\&#39759;&#29747;(94DE80882170)\&#30707;&#39532;&#27827;&#33267;&#21271;&#29615;&#31435;&#20132;&#35780;&#20272;&#27010;&#31639;&#32456;&#31295;&#25253;&#21578;\POWER%20ASSUMPTION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GP\tamer\DOS\TEMP\GPTLBX90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W-TEO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definedNames>
      <definedName name="Module.Prix_SMC" refersTo="=#NAME?"/>
      <definedName name="Prix_SMC" refersTo="=#NAME?"/>
    </definedNames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总概算表"/>
      <sheetName val="总概算表对比表-隐藏"/>
    </sheetNames>
    <sheetDataSet>
      <sheetData sheetId="0">
        <row r="6">
          <cell r="C6">
            <v>235.85</v>
          </cell>
        </row>
        <row r="6">
          <cell r="L6" t="str">
            <v>详见概算书</v>
          </cell>
        </row>
        <row r="7">
          <cell r="C7">
            <v>241.2</v>
          </cell>
        </row>
        <row r="7">
          <cell r="L7" t="str">
            <v>详见概算书</v>
          </cell>
        </row>
        <row r="8">
          <cell r="C8">
            <v>1314.3</v>
          </cell>
        </row>
        <row r="8">
          <cell r="L8" t="str">
            <v>详见概算书</v>
          </cell>
        </row>
        <row r="11">
          <cell r="F11">
            <v>5</v>
          </cell>
        </row>
        <row r="13">
          <cell r="F13">
            <v>21.67</v>
          </cell>
        </row>
        <row r="13">
          <cell r="L13" t="str">
            <v>暂按送审金额计算</v>
          </cell>
        </row>
        <row r="14">
          <cell r="F14">
            <v>24.12</v>
          </cell>
        </row>
        <row r="14">
          <cell r="L14" t="str">
            <v>按2021年《重庆市建筑安装工程设计概算编制办法》并参考市场行情计算</v>
          </cell>
        </row>
        <row r="15">
          <cell r="F15">
            <v>6.52</v>
          </cell>
        </row>
        <row r="15">
          <cell r="L15" t="str">
            <v>按2021年《重庆市建筑安装工程设计概算编制办法》计算</v>
          </cell>
        </row>
        <row r="17">
          <cell r="F17">
            <v>2</v>
          </cell>
        </row>
        <row r="17">
          <cell r="L17" t="str">
            <v>按委托合同计列</v>
          </cell>
        </row>
        <row r="18">
          <cell r="F18">
            <v>14.47</v>
          </cell>
        </row>
        <row r="18">
          <cell r="L18" t="str">
            <v>按2021年《重庆市建筑安装工程设计概算编制办法》计算</v>
          </cell>
        </row>
        <row r="19">
          <cell r="F19">
            <v>43.38</v>
          </cell>
        </row>
        <row r="19">
          <cell r="L19" t="str">
            <v>按委托合同计列</v>
          </cell>
        </row>
        <row r="21">
          <cell r="F21">
            <v>4.34</v>
          </cell>
        </row>
        <row r="21">
          <cell r="L21" t="str">
            <v>按2021年《重庆市建筑安装工程设计概算编制办法》计算</v>
          </cell>
        </row>
        <row r="23">
          <cell r="F23">
            <v>5.25</v>
          </cell>
        </row>
        <row r="23">
          <cell r="L23" t="str">
            <v>按2021年《重庆市建筑安装工程设计概算编制办法》计算</v>
          </cell>
        </row>
        <row r="24">
          <cell r="F24">
            <v>5.25</v>
          </cell>
        </row>
        <row r="24">
          <cell r="L24" t="str">
            <v>按2021年《重庆市建筑安装工程设计概算编制办法》计算</v>
          </cell>
        </row>
        <row r="25">
          <cell r="F25">
            <v>8.4</v>
          </cell>
        </row>
        <row r="25">
          <cell r="L25" t="str">
            <v>按2021年《重庆市建筑安装工程设计概算编制办法》计算</v>
          </cell>
        </row>
        <row r="26">
          <cell r="F26">
            <v>5.37</v>
          </cell>
        </row>
        <row r="26">
          <cell r="L26" t="str">
            <v>按2021年《重庆市建筑安装工程设计概算编制办法》计算</v>
          </cell>
        </row>
        <row r="27">
          <cell r="F27">
            <v>8.96</v>
          </cell>
        </row>
        <row r="27">
          <cell r="L27" t="str">
            <v>按2021年《重庆市建筑安装工程设计概算编制办法》计算</v>
          </cell>
        </row>
        <row r="29">
          <cell r="F29">
            <v>4.12</v>
          </cell>
        </row>
        <row r="29">
          <cell r="L29" t="str">
            <v>渝价[2011]257号文</v>
          </cell>
        </row>
        <row r="31">
          <cell r="F31">
            <v>97.26</v>
          </cell>
        </row>
        <row r="31">
          <cell r="L31" t="str">
            <v>（一+二-土地征用及补偿费）*5%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价格"/>
      <sheetName val="总价"/>
      <sheetName val="XL4Poppy"/>
      <sheetName val="KKKKKKK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Financ. Overview"/>
      <sheetName val="Toolbox"/>
    </sheetNames>
    <sheetDataSet>
      <sheetData sheetId="0" refreshError="1"/>
      <sheetData sheetId="1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Main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Open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Toolbox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G.1R-Shou COP Gf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POWER ASSUMPTIONS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Toolbox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H37"/>
  <sheetViews>
    <sheetView view="pageBreakPreview" zoomScaleNormal="100" workbookViewId="0">
      <pane ySplit="4" topLeftCell="A21" activePane="bottomLeft" state="frozen"/>
      <selection/>
      <selection pane="bottomLeft" activeCell="B38" sqref="B38"/>
    </sheetView>
  </sheetViews>
  <sheetFormatPr defaultColWidth="7.625" defaultRowHeight="24.75" customHeight="1"/>
  <cols>
    <col min="1" max="1" width="6.625" style="5" customWidth="1"/>
    <col min="2" max="2" width="25.875" style="6" customWidth="1"/>
    <col min="3" max="7" width="8.125" style="7" customWidth="1"/>
    <col min="8" max="8" width="5.25" style="7" hidden="1" customWidth="1"/>
    <col min="9" max="9" width="8.25" style="8" hidden="1" customWidth="1"/>
    <col min="10" max="10" width="8.25" style="7" hidden="1" customWidth="1"/>
    <col min="11" max="11" width="8.25" style="7" customWidth="1"/>
    <col min="12" max="12" width="42" style="11" customWidth="1"/>
    <col min="13" max="13" width="9.625" style="11" customWidth="1"/>
    <col min="14" max="14" width="9.625" style="11"/>
    <col min="15" max="15" width="7.625" style="11"/>
    <col min="16" max="16" width="9.625" style="11"/>
    <col min="17" max="17" width="8.875" style="11"/>
    <col min="18" max="16384" width="7.625" style="11"/>
  </cols>
  <sheetData>
    <row r="1" ht="41.25" customHeight="1" spans="1:12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</row>
    <row r="2" s="1" customFormat="1" ht="25" customHeight="1" spans="1:12">
      <c r="A2" s="13" t="s">
        <v>1</v>
      </c>
      <c r="B2" s="14"/>
      <c r="C2" s="14"/>
      <c r="D2" s="14"/>
      <c r="E2" s="14"/>
      <c r="F2" s="14"/>
      <c r="G2" s="14"/>
      <c r="H2" s="59"/>
      <c r="I2" s="60"/>
      <c r="L2" s="96" t="s">
        <v>2</v>
      </c>
    </row>
    <row r="3" s="2" customFormat="1" ht="25" customHeight="1" spans="1:12">
      <c r="A3" s="15" t="s">
        <v>3</v>
      </c>
      <c r="B3" s="16" t="s">
        <v>4</v>
      </c>
      <c r="C3" s="16" t="s">
        <v>5</v>
      </c>
      <c r="D3" s="16"/>
      <c r="E3" s="16"/>
      <c r="F3" s="16"/>
      <c r="G3" s="16"/>
      <c r="H3" s="16" t="s">
        <v>6</v>
      </c>
      <c r="I3" s="16"/>
      <c r="J3" s="16"/>
      <c r="K3" s="16" t="s">
        <v>7</v>
      </c>
      <c r="L3" s="97" t="s">
        <v>8</v>
      </c>
    </row>
    <row r="4" s="2" customFormat="1" ht="25" customHeight="1" spans="1:12">
      <c r="A4" s="15"/>
      <c r="B4" s="16"/>
      <c r="C4" s="16" t="s">
        <v>9</v>
      </c>
      <c r="D4" s="16" t="s">
        <v>10</v>
      </c>
      <c r="E4" s="16" t="s">
        <v>11</v>
      </c>
      <c r="F4" s="16" t="s">
        <v>12</v>
      </c>
      <c r="G4" s="16" t="s">
        <v>13</v>
      </c>
      <c r="H4" s="16" t="s">
        <v>14</v>
      </c>
      <c r="I4" s="98" t="s">
        <v>15</v>
      </c>
      <c r="J4" s="16" t="s">
        <v>16</v>
      </c>
      <c r="K4" s="16"/>
      <c r="L4" s="97"/>
    </row>
    <row r="5" s="3" customFormat="1" ht="25" customHeight="1" spans="1:14">
      <c r="A5" s="19" t="s">
        <v>17</v>
      </c>
      <c r="B5" s="20" t="s">
        <v>18</v>
      </c>
      <c r="C5" s="21">
        <f t="shared" ref="C5:G5" si="0">SUM(C6:C8)</f>
        <v>1791.35</v>
      </c>
      <c r="D5" s="21">
        <f t="shared" si="0"/>
        <v>0</v>
      </c>
      <c r="E5" s="21">
        <f t="shared" si="0"/>
        <v>0</v>
      </c>
      <c r="F5" s="21">
        <f t="shared" si="0"/>
        <v>0</v>
      </c>
      <c r="G5" s="21">
        <f t="shared" si="0"/>
        <v>1791.35</v>
      </c>
      <c r="H5" s="17"/>
      <c r="I5" s="99"/>
      <c r="J5" s="17"/>
      <c r="K5" s="100">
        <f t="shared" ref="K5:K32" si="1">G5/$G$32*100</f>
        <v>87.49</v>
      </c>
      <c r="L5" s="101"/>
      <c r="N5" s="3">
        <f>SUM(N6:N8)</f>
        <v>17913493.48</v>
      </c>
    </row>
    <row r="6" s="3" customFormat="1" ht="25" customHeight="1" spans="1:14">
      <c r="A6" s="22">
        <v>1</v>
      </c>
      <c r="B6" s="84" t="s">
        <v>19</v>
      </c>
      <c r="C6" s="24">
        <f t="shared" ref="C6:C8" si="2">ROUND(N6/10000,2)</f>
        <v>235.85</v>
      </c>
      <c r="D6" s="24"/>
      <c r="E6" s="24"/>
      <c r="F6" s="85"/>
      <c r="G6" s="85">
        <f t="shared" ref="G6:G8" si="3">SUM(C6:F6)</f>
        <v>235.85</v>
      </c>
      <c r="H6" s="18"/>
      <c r="I6" s="102"/>
      <c r="J6" s="18"/>
      <c r="K6" s="103">
        <f t="shared" si="1"/>
        <v>11.52</v>
      </c>
      <c r="L6" s="104" t="s">
        <v>20</v>
      </c>
      <c r="N6" s="3">
        <v>2358477.9</v>
      </c>
    </row>
    <row r="7" s="3" customFormat="1" ht="25" customHeight="1" spans="1:14">
      <c r="A7" s="22">
        <v>2</v>
      </c>
      <c r="B7" s="86" t="s">
        <v>21</v>
      </c>
      <c r="C7" s="24">
        <f t="shared" si="2"/>
        <v>241.2</v>
      </c>
      <c r="D7" s="24"/>
      <c r="E7" s="24"/>
      <c r="F7" s="85"/>
      <c r="G7" s="85">
        <f t="shared" si="3"/>
        <v>241.2</v>
      </c>
      <c r="H7" s="18"/>
      <c r="I7" s="102"/>
      <c r="J7" s="18"/>
      <c r="K7" s="103">
        <f t="shared" si="1"/>
        <v>11.78</v>
      </c>
      <c r="L7" s="104" t="s">
        <v>20</v>
      </c>
      <c r="N7" s="3">
        <v>2411966.8</v>
      </c>
    </row>
    <row r="8" s="3" customFormat="1" ht="25" customHeight="1" spans="1:14">
      <c r="A8" s="22">
        <v>3</v>
      </c>
      <c r="B8" s="86" t="s">
        <v>22</v>
      </c>
      <c r="C8" s="24">
        <f t="shared" si="2"/>
        <v>1314.3</v>
      </c>
      <c r="D8" s="24"/>
      <c r="E8" s="24"/>
      <c r="F8" s="85"/>
      <c r="G8" s="85">
        <f t="shared" si="3"/>
        <v>1314.3</v>
      </c>
      <c r="H8" s="18"/>
      <c r="I8" s="102"/>
      <c r="J8" s="18"/>
      <c r="K8" s="103">
        <f t="shared" si="1"/>
        <v>64.19</v>
      </c>
      <c r="L8" s="104" t="s">
        <v>20</v>
      </c>
      <c r="N8" s="3">
        <v>13143048.78</v>
      </c>
    </row>
    <row r="9" s="3" customFormat="1" ht="25" customHeight="1" spans="1:12">
      <c r="A9" s="19" t="s">
        <v>23</v>
      </c>
      <c r="B9" s="20" t="s">
        <v>24</v>
      </c>
      <c r="C9" s="87"/>
      <c r="D9" s="17"/>
      <c r="E9" s="17"/>
      <c r="F9" s="21">
        <f>F10+F12</f>
        <v>158.85</v>
      </c>
      <c r="G9" s="21">
        <f t="shared" ref="G9:G31" si="4">F9</f>
        <v>158.85</v>
      </c>
      <c r="H9" s="17"/>
      <c r="I9" s="99"/>
      <c r="J9" s="17"/>
      <c r="K9" s="100">
        <f t="shared" si="1"/>
        <v>7.76</v>
      </c>
      <c r="L9" s="105"/>
    </row>
    <row r="10" s="3" customFormat="1" ht="25" customHeight="1" spans="1:12">
      <c r="A10" s="30" t="s">
        <v>25</v>
      </c>
      <c r="B10" s="31" t="s">
        <v>26</v>
      </c>
      <c r="C10" s="26"/>
      <c r="D10" s="27"/>
      <c r="E10" s="28"/>
      <c r="F10" s="21">
        <f>F11</f>
        <v>5</v>
      </c>
      <c r="G10" s="21">
        <f t="shared" si="4"/>
        <v>5</v>
      </c>
      <c r="H10" s="18"/>
      <c r="I10" s="102"/>
      <c r="J10" s="18"/>
      <c r="K10" s="100">
        <f t="shared" si="1"/>
        <v>0.24</v>
      </c>
      <c r="L10" s="105"/>
    </row>
    <row r="11" s="3" customFormat="1" ht="25" customHeight="1" spans="1:12">
      <c r="A11" s="32">
        <v>1</v>
      </c>
      <c r="B11" s="33" t="s">
        <v>27</v>
      </c>
      <c r="C11" s="34"/>
      <c r="D11" s="35"/>
      <c r="E11" s="35"/>
      <c r="F11" s="24">
        <v>5</v>
      </c>
      <c r="G11" s="24">
        <f t="shared" si="4"/>
        <v>5</v>
      </c>
      <c r="H11" s="18"/>
      <c r="I11" s="102"/>
      <c r="J11" s="18"/>
      <c r="K11" s="103">
        <f t="shared" si="1"/>
        <v>0.24</v>
      </c>
      <c r="L11" s="106"/>
    </row>
    <row r="12" ht="25" customHeight="1" spans="1:12">
      <c r="A12" s="30" t="s">
        <v>28</v>
      </c>
      <c r="B12" s="31" t="s">
        <v>29</v>
      </c>
      <c r="C12" s="34"/>
      <c r="D12" s="35"/>
      <c r="E12" s="52"/>
      <c r="F12" s="75">
        <f>F13+F14+F15+F16+F18+F19+F20+F26+F27+F28</f>
        <v>153.85</v>
      </c>
      <c r="G12" s="21">
        <f t="shared" si="4"/>
        <v>153.85</v>
      </c>
      <c r="H12" s="88"/>
      <c r="I12" s="107"/>
      <c r="J12" s="88"/>
      <c r="K12" s="100">
        <f t="shared" si="1"/>
        <v>7.51</v>
      </c>
      <c r="L12" s="106"/>
    </row>
    <row r="13" ht="25" customHeight="1" spans="1:14">
      <c r="A13" s="42">
        <v>1</v>
      </c>
      <c r="B13" s="43" t="s">
        <v>30</v>
      </c>
      <c r="C13" s="44"/>
      <c r="D13" s="45"/>
      <c r="E13" s="46"/>
      <c r="F13" s="51">
        <f>35.49*0+21.67</f>
        <v>21.67</v>
      </c>
      <c r="G13" s="24">
        <f t="shared" si="4"/>
        <v>21.67</v>
      </c>
      <c r="H13" s="88"/>
      <c r="I13" s="107"/>
      <c r="J13" s="88"/>
      <c r="K13" s="103">
        <f t="shared" si="1"/>
        <v>1.06</v>
      </c>
      <c r="L13" s="79" t="s">
        <v>31</v>
      </c>
      <c r="M13" s="10">
        <f>ROUND(1000*2%+(G32-G10-G13-1000)*1.5%,2)</f>
        <v>35.31</v>
      </c>
      <c r="N13" s="108">
        <v>21.67</v>
      </c>
    </row>
    <row r="14" ht="25" customHeight="1" spans="1:13">
      <c r="A14" s="42">
        <v>2</v>
      </c>
      <c r="B14" s="43" t="s">
        <v>32</v>
      </c>
      <c r="C14" s="44"/>
      <c r="D14" s="45"/>
      <c r="E14" s="46"/>
      <c r="F14" s="51">
        <f>(ROUND((21+30.1)/2+((55+78.1)/2-(21+30.1)/2)*(G5-1000)/(3000-1000),2)*0+ROUND(21+(55-21)*(G5-1000)/(3000-1000),2))*0.7</f>
        <v>24.12</v>
      </c>
      <c r="G14" s="24">
        <f t="shared" si="4"/>
        <v>24.12</v>
      </c>
      <c r="H14" s="88"/>
      <c r="I14" s="107"/>
      <c r="J14" s="88"/>
      <c r="K14" s="103">
        <f t="shared" si="1"/>
        <v>1.18</v>
      </c>
      <c r="L14" s="79" t="s">
        <v>33</v>
      </c>
      <c r="M14" s="109" t="s">
        <v>34</v>
      </c>
    </row>
    <row r="15" ht="25" customHeight="1" spans="1:13">
      <c r="A15" s="42">
        <v>3</v>
      </c>
      <c r="B15" s="43" t="s">
        <v>35</v>
      </c>
      <c r="C15" s="44"/>
      <c r="D15" s="45"/>
      <c r="E15" s="46"/>
      <c r="F15" s="51">
        <f>ROUND(100*(0.7%+1%)/2+400*(0.49%+0.7%)/2+500*(0.385%+0.55%)/2+(G5-1000)*(0.245%+0.35%)/2,2)*0+ROUND(100*0.7%+400*0.49%+500*0.385%+(G5-1000)*0.245%,2)</f>
        <v>6.52</v>
      </c>
      <c r="G15" s="24">
        <f t="shared" si="4"/>
        <v>6.52</v>
      </c>
      <c r="H15" s="88"/>
      <c r="I15" s="107"/>
      <c r="J15" s="88"/>
      <c r="K15" s="103">
        <f t="shared" si="1"/>
        <v>0.32</v>
      </c>
      <c r="L15" s="110" t="s">
        <v>36</v>
      </c>
      <c r="M15" s="109" t="s">
        <v>34</v>
      </c>
    </row>
    <row r="16" ht="25" customHeight="1" spans="1:12">
      <c r="A16" s="42">
        <v>4</v>
      </c>
      <c r="B16" s="43" t="s">
        <v>37</v>
      </c>
      <c r="C16" s="44"/>
      <c r="D16" s="45"/>
      <c r="E16" s="46"/>
      <c r="F16" s="51">
        <f>SUM(F17:F17)</f>
        <v>2</v>
      </c>
      <c r="G16" s="24">
        <f t="shared" si="4"/>
        <v>2</v>
      </c>
      <c r="H16" s="88"/>
      <c r="I16" s="107"/>
      <c r="J16" s="88"/>
      <c r="K16" s="103">
        <f t="shared" si="1"/>
        <v>0.1</v>
      </c>
      <c r="L16" s="106"/>
    </row>
    <row r="17" s="83" customFormat="1" ht="25" customHeight="1" spans="1:34">
      <c r="A17" s="49">
        <v>4.1</v>
      </c>
      <c r="B17" s="43" t="s">
        <v>38</v>
      </c>
      <c r="C17" s="44"/>
      <c r="D17" s="45"/>
      <c r="E17" s="46"/>
      <c r="F17" s="51">
        <v>2</v>
      </c>
      <c r="G17" s="24">
        <f t="shared" si="4"/>
        <v>2</v>
      </c>
      <c r="H17" s="88"/>
      <c r="I17" s="107"/>
      <c r="J17" s="88"/>
      <c r="K17" s="103">
        <f t="shared" si="1"/>
        <v>0.1</v>
      </c>
      <c r="L17" s="111" t="s">
        <v>39</v>
      </c>
      <c r="M17" s="112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</row>
    <row r="18" ht="25" customHeight="1" spans="1:13">
      <c r="A18" s="42">
        <v>5</v>
      </c>
      <c r="B18" s="43" t="s">
        <v>40</v>
      </c>
      <c r="C18" s="51"/>
      <c r="D18" s="51"/>
      <c r="E18" s="51"/>
      <c r="F18" s="51">
        <f>ROUND(G5*(0.8%+1.1%)/2*(1-15%),2)*1+ROUND(G5*0.8%*(1-15%),2)*0</f>
        <v>14.47</v>
      </c>
      <c r="G18" s="24">
        <f t="shared" si="4"/>
        <v>14.47</v>
      </c>
      <c r="H18" s="88"/>
      <c r="I18" s="107"/>
      <c r="J18" s="88"/>
      <c r="K18" s="103">
        <f t="shared" si="1"/>
        <v>0.71</v>
      </c>
      <c r="L18" s="106" t="s">
        <v>36</v>
      </c>
      <c r="M18" s="109" t="s">
        <v>41</v>
      </c>
    </row>
    <row r="19" ht="25" customHeight="1" spans="1:13">
      <c r="A19" s="42">
        <v>6</v>
      </c>
      <c r="B19" s="50" t="s">
        <v>42</v>
      </c>
      <c r="C19" s="51"/>
      <c r="D19" s="51"/>
      <c r="E19" s="51"/>
      <c r="F19" s="51">
        <f>(ROUND((1000*(3.5%+4%)/2+(G5-1000)*(3%+3.5%)/2)*(1-20%),2)*0+ROUND((1000*3.5%+(G5-1000)*3%)*(1-20%),2))*0+43.38</f>
        <v>43.38</v>
      </c>
      <c r="G19" s="24">
        <f t="shared" si="4"/>
        <v>43.38</v>
      </c>
      <c r="H19" s="88"/>
      <c r="I19" s="107"/>
      <c r="J19" s="88"/>
      <c r="K19" s="103">
        <f t="shared" si="1"/>
        <v>2.12</v>
      </c>
      <c r="L19" s="111" t="s">
        <v>39</v>
      </c>
      <c r="M19" s="109" t="s">
        <v>34</v>
      </c>
    </row>
    <row r="20" ht="25" customHeight="1" spans="1:12">
      <c r="A20" s="42">
        <v>7</v>
      </c>
      <c r="B20" s="43" t="s">
        <v>43</v>
      </c>
      <c r="C20" s="51"/>
      <c r="D20" s="51"/>
      <c r="E20" s="51"/>
      <c r="F20" s="51">
        <f>F21+F22</f>
        <v>23.24</v>
      </c>
      <c r="G20" s="24">
        <f t="shared" si="4"/>
        <v>23.24</v>
      </c>
      <c r="H20" s="89"/>
      <c r="I20" s="107"/>
      <c r="J20" s="88"/>
      <c r="K20" s="103">
        <f t="shared" si="1"/>
        <v>1.14</v>
      </c>
      <c r="L20" s="106"/>
    </row>
    <row r="21" ht="25" customHeight="1" spans="1:13">
      <c r="A21" s="49">
        <v>7.1</v>
      </c>
      <c r="B21" s="50" t="s">
        <v>44</v>
      </c>
      <c r="C21" s="51"/>
      <c r="D21" s="51"/>
      <c r="E21" s="51"/>
      <c r="F21" s="51">
        <f>ROUND(F19*(10%+20%)/2,2)*0+ROUND(F19*10%,2)</f>
        <v>4.34</v>
      </c>
      <c r="G21" s="24">
        <f t="shared" si="4"/>
        <v>4.34</v>
      </c>
      <c r="H21" s="88"/>
      <c r="I21" s="107"/>
      <c r="J21" s="88"/>
      <c r="K21" s="103">
        <f t="shared" si="1"/>
        <v>0.21</v>
      </c>
      <c r="L21" s="106" t="s">
        <v>36</v>
      </c>
      <c r="M21" s="109" t="s">
        <v>34</v>
      </c>
    </row>
    <row r="22" ht="25" customHeight="1" spans="1:12">
      <c r="A22" s="49">
        <v>7.2</v>
      </c>
      <c r="B22" s="43" t="s">
        <v>45</v>
      </c>
      <c r="C22" s="51"/>
      <c r="D22" s="51"/>
      <c r="E22" s="51"/>
      <c r="F22" s="51">
        <f>SUM(F23:F25)</f>
        <v>18.9</v>
      </c>
      <c r="G22" s="24">
        <f t="shared" si="4"/>
        <v>18.9</v>
      </c>
      <c r="H22" s="24"/>
      <c r="I22" s="107"/>
      <c r="J22" s="88"/>
      <c r="K22" s="103">
        <f t="shared" si="1"/>
        <v>0.92</v>
      </c>
      <c r="L22" s="113"/>
    </row>
    <row r="23" ht="25" customHeight="1" spans="1:12">
      <c r="A23" s="42" t="s">
        <v>46</v>
      </c>
      <c r="B23" s="43" t="s">
        <v>47</v>
      </c>
      <c r="C23" s="51"/>
      <c r="D23" s="51"/>
      <c r="E23" s="51"/>
      <c r="F23" s="51">
        <f>ROUND(500*0.35%+500*0.32%+(G5-1000)*0.24%,2)</f>
        <v>5.25</v>
      </c>
      <c r="G23" s="24">
        <f t="shared" si="4"/>
        <v>5.25</v>
      </c>
      <c r="H23" s="88"/>
      <c r="I23" s="107"/>
      <c r="J23" s="88"/>
      <c r="K23" s="103">
        <f t="shared" si="1"/>
        <v>0.26</v>
      </c>
      <c r="L23" s="113" t="s">
        <v>36</v>
      </c>
    </row>
    <row r="24" ht="25" customHeight="1" spans="1:12">
      <c r="A24" s="42" t="s">
        <v>48</v>
      </c>
      <c r="B24" s="43" t="s">
        <v>49</v>
      </c>
      <c r="C24" s="51"/>
      <c r="D24" s="51"/>
      <c r="E24" s="51"/>
      <c r="F24" s="51">
        <f>F23</f>
        <v>5.25</v>
      </c>
      <c r="G24" s="24">
        <f t="shared" si="4"/>
        <v>5.25</v>
      </c>
      <c r="H24" s="88"/>
      <c r="I24" s="107"/>
      <c r="J24" s="88"/>
      <c r="K24" s="103">
        <f t="shared" si="1"/>
        <v>0.26</v>
      </c>
      <c r="L24" s="113" t="s">
        <v>36</v>
      </c>
    </row>
    <row r="25" ht="25" customHeight="1" spans="1:12">
      <c r="A25" s="42" t="s">
        <v>50</v>
      </c>
      <c r="B25" s="50" t="s">
        <v>51</v>
      </c>
      <c r="C25" s="51"/>
      <c r="D25" s="51"/>
      <c r="E25" s="51"/>
      <c r="F25" s="51">
        <f>ROUND(500*0.56%+500*0.48%+(G5-1000)*0.405%,2)</f>
        <v>8.4</v>
      </c>
      <c r="G25" s="24">
        <f t="shared" si="4"/>
        <v>8.4</v>
      </c>
      <c r="H25" s="88"/>
      <c r="I25" s="107"/>
      <c r="J25" s="88"/>
      <c r="K25" s="103">
        <f t="shared" si="1"/>
        <v>0.41</v>
      </c>
      <c r="L25" s="113" t="s">
        <v>36</v>
      </c>
    </row>
    <row r="26" ht="25" customHeight="1" spans="1:13">
      <c r="A26" s="42">
        <v>8</v>
      </c>
      <c r="B26" s="43" t="s">
        <v>52</v>
      </c>
      <c r="C26" s="51"/>
      <c r="D26" s="51"/>
      <c r="E26" s="51"/>
      <c r="F26" s="51">
        <f>ROUND(G5*(0.3%+0.6%)/2,2)*0+ROUND(G5*0.3%,2)</f>
        <v>5.37</v>
      </c>
      <c r="G26" s="24">
        <f t="shared" si="4"/>
        <v>5.37</v>
      </c>
      <c r="H26" s="88"/>
      <c r="I26" s="107"/>
      <c r="J26" s="88"/>
      <c r="K26" s="103">
        <f t="shared" si="1"/>
        <v>0.26</v>
      </c>
      <c r="L26" s="106" t="s">
        <v>36</v>
      </c>
      <c r="M26" s="109" t="s">
        <v>34</v>
      </c>
    </row>
    <row r="27" ht="25" customHeight="1" spans="1:13">
      <c r="A27" s="42">
        <v>9</v>
      </c>
      <c r="B27" s="43" t="s">
        <v>53</v>
      </c>
      <c r="C27" s="51"/>
      <c r="D27" s="51"/>
      <c r="E27" s="51"/>
      <c r="F27" s="51">
        <f>ROUND(G5*(0.5%+1%)/2,2)*0+ROUND(G5*0.5%,2)</f>
        <v>8.96</v>
      </c>
      <c r="G27" s="24">
        <f t="shared" si="4"/>
        <v>8.96</v>
      </c>
      <c r="H27" s="88"/>
      <c r="I27" s="107"/>
      <c r="J27" s="88"/>
      <c r="K27" s="103">
        <f t="shared" si="1"/>
        <v>0.44</v>
      </c>
      <c r="L27" s="79" t="s">
        <v>36</v>
      </c>
      <c r="M27" s="109" t="s">
        <v>34</v>
      </c>
    </row>
    <row r="28" ht="25" customHeight="1" spans="1:12">
      <c r="A28" s="42">
        <v>10</v>
      </c>
      <c r="B28" s="43" t="s">
        <v>54</v>
      </c>
      <c r="C28" s="51"/>
      <c r="D28" s="51"/>
      <c r="E28" s="51"/>
      <c r="F28" s="51">
        <f>SUM(F29:F29)</f>
        <v>4.12</v>
      </c>
      <c r="G28" s="24">
        <f t="shared" si="4"/>
        <v>4.12</v>
      </c>
      <c r="H28" s="88"/>
      <c r="I28" s="107"/>
      <c r="J28" s="88"/>
      <c r="K28" s="103">
        <f t="shared" si="1"/>
        <v>0.2</v>
      </c>
      <c r="L28" s="106"/>
    </row>
    <row r="29" ht="25" customHeight="1" spans="1:13">
      <c r="A29" s="54" t="s">
        <v>55</v>
      </c>
      <c r="B29" s="50" t="s">
        <v>56</v>
      </c>
      <c r="C29" s="51"/>
      <c r="D29" s="51"/>
      <c r="E29" s="51"/>
      <c r="F29" s="51">
        <v>4.12</v>
      </c>
      <c r="G29" s="24">
        <f t="shared" si="4"/>
        <v>4.12</v>
      </c>
      <c r="H29" s="17"/>
      <c r="I29" s="99"/>
      <c r="J29" s="17"/>
      <c r="K29" s="103">
        <f t="shared" si="1"/>
        <v>0.2</v>
      </c>
      <c r="L29" s="106" t="s">
        <v>57</v>
      </c>
      <c r="M29" s="10">
        <f>0.3+900*0.25%+(G32-1000-G29)*0.15%</f>
        <v>4.12</v>
      </c>
    </row>
    <row r="30" ht="25" customHeight="1" spans="1:12">
      <c r="A30" s="22" t="s">
        <v>58</v>
      </c>
      <c r="B30" s="57" t="s">
        <v>59</v>
      </c>
      <c r="C30" s="24"/>
      <c r="D30" s="24"/>
      <c r="E30" s="24"/>
      <c r="F30" s="21">
        <f>F31</f>
        <v>97.26</v>
      </c>
      <c r="G30" s="21">
        <f t="shared" si="4"/>
        <v>97.26</v>
      </c>
      <c r="H30" s="17"/>
      <c r="I30" s="99"/>
      <c r="J30" s="17"/>
      <c r="K30" s="100">
        <f t="shared" si="1"/>
        <v>4.75</v>
      </c>
      <c r="L30" s="106"/>
    </row>
    <row r="31" ht="25" customHeight="1" spans="1:12">
      <c r="A31" s="22">
        <v>1</v>
      </c>
      <c r="B31" s="57" t="s">
        <v>60</v>
      </c>
      <c r="C31" s="24"/>
      <c r="D31" s="24"/>
      <c r="E31" s="24"/>
      <c r="F31" s="24">
        <f>ROUND((G9+G5-G11)*5%,2)</f>
        <v>97.26</v>
      </c>
      <c r="G31" s="24">
        <f t="shared" si="4"/>
        <v>97.26</v>
      </c>
      <c r="H31" s="17"/>
      <c r="I31" s="99"/>
      <c r="J31" s="17"/>
      <c r="K31" s="103">
        <f t="shared" si="1"/>
        <v>4.75</v>
      </c>
      <c r="L31" s="106" t="s">
        <v>61</v>
      </c>
    </row>
    <row r="32" ht="25" customHeight="1" spans="1:12">
      <c r="A32" s="19" t="s">
        <v>62</v>
      </c>
      <c r="B32" s="57" t="s">
        <v>63</v>
      </c>
      <c r="C32" s="24"/>
      <c r="D32" s="24"/>
      <c r="E32" s="24"/>
      <c r="F32" s="21"/>
      <c r="G32" s="21">
        <f>+G30+G9+G5</f>
        <v>2047.46</v>
      </c>
      <c r="H32" s="17"/>
      <c r="I32" s="99"/>
      <c r="J32" s="17"/>
      <c r="K32" s="100">
        <f t="shared" si="1"/>
        <v>100</v>
      </c>
      <c r="L32" s="114" t="s">
        <v>64</v>
      </c>
    </row>
    <row r="33" customHeight="1" spans="6:7">
      <c r="F33" s="90"/>
      <c r="G33" s="91"/>
    </row>
    <row r="34" customHeight="1" spans="6:11">
      <c r="F34" s="92" t="s">
        <v>65</v>
      </c>
      <c r="G34" s="93">
        <f>G32</f>
        <v>2047.46</v>
      </c>
      <c r="J34" s="8"/>
      <c r="K34" s="81"/>
    </row>
    <row r="35" customHeight="1" spans="6:11">
      <c r="F35" s="94"/>
      <c r="G35" s="95"/>
      <c r="K35" s="81"/>
    </row>
    <row r="37" customHeight="1" spans="7:7">
      <c r="G37" s="81"/>
    </row>
  </sheetData>
  <mergeCells count="31">
    <mergeCell ref="A1:L1"/>
    <mergeCell ref="A2:G2"/>
    <mergeCell ref="C3:G3"/>
    <mergeCell ref="H3:J3"/>
    <mergeCell ref="C10:E10"/>
    <mergeCell ref="C11:E11"/>
    <mergeCell ref="C12:E12"/>
    <mergeCell ref="C13:E13"/>
    <mergeCell ref="C14:E14"/>
    <mergeCell ref="C15:E15"/>
    <mergeCell ref="C16:E16"/>
    <mergeCell ref="C17:E17"/>
    <mergeCell ref="C18:E18"/>
    <mergeCell ref="C19:E19"/>
    <mergeCell ref="C20:E20"/>
    <mergeCell ref="C21:E21"/>
    <mergeCell ref="C22:E22"/>
    <mergeCell ref="C23:E23"/>
    <mergeCell ref="C24:E24"/>
    <mergeCell ref="C25:E25"/>
    <mergeCell ref="C26:E26"/>
    <mergeCell ref="C27:E27"/>
    <mergeCell ref="C28:E28"/>
    <mergeCell ref="C29:E29"/>
    <mergeCell ref="C30:E30"/>
    <mergeCell ref="C31:E31"/>
    <mergeCell ref="C32:E32"/>
    <mergeCell ref="A3:A4"/>
    <mergeCell ref="B3:B4"/>
    <mergeCell ref="K3:K4"/>
    <mergeCell ref="L3:L4"/>
  </mergeCells>
  <conditionalFormatting sqref="A7">
    <cfRule type="cellIs" dxfId="0" priority="33" stopIfTrue="1" operator="equal">
      <formula>0</formula>
    </cfRule>
  </conditionalFormatting>
  <conditionalFormatting sqref="A8">
    <cfRule type="cellIs" dxfId="0" priority="35" stopIfTrue="1" operator="equal">
      <formula>0</formula>
    </cfRule>
  </conditionalFormatting>
  <conditionalFormatting sqref="A30:A32">
    <cfRule type="cellIs" dxfId="0" priority="4" stopIfTrue="1" operator="equal">
      <formula>0</formula>
    </cfRule>
  </conditionalFormatting>
  <conditionalFormatting sqref="A5:A6 A9">
    <cfRule type="cellIs" dxfId="0" priority="37" stopIfTrue="1" operator="equal">
      <formula>0</formula>
    </cfRule>
  </conditionalFormatting>
  <printOptions horizontalCentered="1"/>
  <pageMargins left="0.511811023622047" right="0.511811023622047" top="0.62992125984252" bottom="0.47244094488189" header="0.31496062992126" footer="0.31496062992126"/>
  <pageSetup paperSize="9" orientation="landscape"/>
  <headerFooter alignWithMargins="0">
    <oddFooter>&amp;C第 &amp;P 页，共 &amp;N 页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40"/>
  <sheetViews>
    <sheetView tabSelected="1" view="pageBreakPreview" zoomScaleNormal="100" workbookViewId="0">
      <pane ySplit="4" topLeftCell="A15" activePane="bottomLeft" state="frozen"/>
      <selection/>
      <selection pane="bottomLeft" activeCell="S27" sqref="S27"/>
    </sheetView>
  </sheetViews>
  <sheetFormatPr defaultColWidth="7.625" defaultRowHeight="24.75" customHeight="1"/>
  <cols>
    <col min="1" max="1" width="6.625" style="5" customWidth="1"/>
    <col min="2" max="2" width="20.125" style="6" customWidth="1"/>
    <col min="3" max="7" width="8.25" style="6" customWidth="1"/>
    <col min="8" max="13" width="8.25" style="7" customWidth="1"/>
    <col min="14" max="14" width="8.25" style="8" customWidth="1"/>
    <col min="15" max="15" width="26.75" style="9" customWidth="1"/>
    <col min="16" max="16" width="7.625" style="10"/>
    <col min="17" max="17" width="9.25" style="11" hidden="1" customWidth="1"/>
    <col min="18" max="18" width="9.25" style="11"/>
    <col min="19" max="16384" width="7.625" style="11"/>
  </cols>
  <sheetData>
    <row r="1" ht="41.25" customHeight="1" spans="1:15">
      <c r="A1" s="12" t="s">
        <v>66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</row>
    <row r="2" s="1" customFormat="1" ht="25" customHeight="1" spans="1:16">
      <c r="A2" s="13" t="s">
        <v>1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59"/>
      <c r="N2" s="60"/>
      <c r="O2" s="61" t="s">
        <v>67</v>
      </c>
      <c r="P2" s="62"/>
    </row>
    <row r="3" s="2" customFormat="1" ht="25" customHeight="1" spans="1:16">
      <c r="A3" s="15" t="s">
        <v>3</v>
      </c>
      <c r="B3" s="16" t="s">
        <v>4</v>
      </c>
      <c r="C3" s="17" t="s">
        <v>68</v>
      </c>
      <c r="D3" s="17"/>
      <c r="E3" s="17"/>
      <c r="F3" s="17"/>
      <c r="G3" s="18"/>
      <c r="H3" s="17" t="s">
        <v>69</v>
      </c>
      <c r="I3" s="17"/>
      <c r="J3" s="17"/>
      <c r="K3" s="17"/>
      <c r="L3" s="17"/>
      <c r="M3" s="63" t="s">
        <v>70</v>
      </c>
      <c r="N3" s="63" t="s">
        <v>71</v>
      </c>
      <c r="O3" s="64" t="s">
        <v>72</v>
      </c>
      <c r="P3" s="65"/>
    </row>
    <row r="4" s="2" customFormat="1" ht="25" customHeight="1" spans="1:16">
      <c r="A4" s="15"/>
      <c r="B4" s="16"/>
      <c r="C4" s="16" t="s">
        <v>9</v>
      </c>
      <c r="D4" s="16" t="s">
        <v>10</v>
      </c>
      <c r="E4" s="16" t="s">
        <v>11</v>
      </c>
      <c r="F4" s="16" t="s">
        <v>12</v>
      </c>
      <c r="G4" s="16" t="s">
        <v>13</v>
      </c>
      <c r="H4" s="16" t="s">
        <v>9</v>
      </c>
      <c r="I4" s="16" t="s">
        <v>10</v>
      </c>
      <c r="J4" s="16" t="s">
        <v>11</v>
      </c>
      <c r="K4" s="16" t="s">
        <v>12</v>
      </c>
      <c r="L4" s="16" t="s">
        <v>13</v>
      </c>
      <c r="M4" s="66"/>
      <c r="N4" s="66"/>
      <c r="O4" s="64"/>
      <c r="P4" s="65"/>
    </row>
    <row r="5" s="3" customFormat="1" ht="25" customHeight="1" spans="1:16">
      <c r="A5" s="19" t="s">
        <v>17</v>
      </c>
      <c r="B5" s="20" t="s">
        <v>18</v>
      </c>
      <c r="C5" s="21">
        <f t="shared" ref="C5:L5" si="0">SUM(C6:C8)</f>
        <v>1805.44</v>
      </c>
      <c r="D5" s="21">
        <f t="shared" si="0"/>
        <v>0</v>
      </c>
      <c r="E5" s="21">
        <f t="shared" si="0"/>
        <v>0</v>
      </c>
      <c r="F5" s="21">
        <f t="shared" si="0"/>
        <v>0</v>
      </c>
      <c r="G5" s="21">
        <f t="shared" si="0"/>
        <v>1805.44</v>
      </c>
      <c r="H5" s="21">
        <f t="shared" si="0"/>
        <v>1791.35</v>
      </c>
      <c r="I5" s="21">
        <f t="shared" si="0"/>
        <v>0</v>
      </c>
      <c r="J5" s="21">
        <f t="shared" si="0"/>
        <v>0</v>
      </c>
      <c r="K5" s="21">
        <f t="shared" si="0"/>
        <v>0</v>
      </c>
      <c r="L5" s="21">
        <f t="shared" si="0"/>
        <v>1791.35</v>
      </c>
      <c r="M5" s="67">
        <f>L5-G5</f>
        <v>-14.09</v>
      </c>
      <c r="N5" s="68">
        <f>M5/G5</f>
        <v>-0.0078</v>
      </c>
      <c r="O5" s="69"/>
      <c r="P5" s="70"/>
    </row>
    <row r="6" s="3" customFormat="1" ht="25" customHeight="1" spans="1:16">
      <c r="A6" s="22">
        <v>1</v>
      </c>
      <c r="B6" s="23" t="str">
        <f>'总概算表-隐藏'!B6</f>
        <v>黄家坝大院子</v>
      </c>
      <c r="C6" s="24">
        <v>211.93</v>
      </c>
      <c r="D6" s="25"/>
      <c r="E6" s="25"/>
      <c r="F6" s="25"/>
      <c r="G6" s="25">
        <f t="shared" ref="G6:G8" si="1">SUM(C6:F6)</f>
        <v>211.93</v>
      </c>
      <c r="H6" s="25">
        <f>[11]总概算表!C6</f>
        <v>235.85</v>
      </c>
      <c r="I6" s="25">
        <f>[11]总概算表!D6</f>
        <v>0</v>
      </c>
      <c r="J6" s="25">
        <f>[11]总概算表!E6</f>
        <v>0</v>
      </c>
      <c r="K6" s="25">
        <f>[11]总概算表!F6</f>
        <v>0</v>
      </c>
      <c r="L6" s="71">
        <f>SUM(H6:K6)</f>
        <v>235.85</v>
      </c>
      <c r="M6" s="72">
        <f>L6-G6</f>
        <v>23.92</v>
      </c>
      <c r="N6" s="73">
        <f>M6/G6</f>
        <v>0.1129</v>
      </c>
      <c r="O6" s="69" t="str">
        <f>[11]总概算表!L6</f>
        <v>详见概算书</v>
      </c>
      <c r="P6" s="70"/>
    </row>
    <row r="7" s="3" customFormat="1" ht="25" customHeight="1" spans="1:16">
      <c r="A7" s="22">
        <v>2</v>
      </c>
      <c r="B7" s="23" t="str">
        <f>'总概算表-隐藏'!B7</f>
        <v>龙西小区</v>
      </c>
      <c r="C7" s="24">
        <v>303.37</v>
      </c>
      <c r="D7" s="25"/>
      <c r="E7" s="25"/>
      <c r="F7" s="25"/>
      <c r="G7" s="25">
        <f t="shared" si="1"/>
        <v>303.37</v>
      </c>
      <c r="H7" s="25">
        <f>[11]总概算表!C7</f>
        <v>241.2</v>
      </c>
      <c r="I7" s="25">
        <f>[11]总概算表!D7</f>
        <v>0</v>
      </c>
      <c r="J7" s="25">
        <f>[11]总概算表!E7</f>
        <v>0</v>
      </c>
      <c r="K7" s="25">
        <f>[11]总概算表!F7</f>
        <v>0</v>
      </c>
      <c r="L7" s="71">
        <f>SUM(H7:K7)</f>
        <v>241.2</v>
      </c>
      <c r="M7" s="72">
        <f>L7-G7</f>
        <v>-62.17</v>
      </c>
      <c r="N7" s="73">
        <f>M7/G7</f>
        <v>-0.2049</v>
      </c>
      <c r="O7" s="69" t="str">
        <f>[11]总概算表!L7</f>
        <v>详见概算书</v>
      </c>
      <c r="P7" s="70"/>
    </row>
    <row r="8" s="3" customFormat="1" ht="25" customHeight="1" spans="1:16">
      <c r="A8" s="22">
        <v>3</v>
      </c>
      <c r="B8" s="23" t="str">
        <f>'总概算表-隐藏'!B8</f>
        <v>龙水新大桥</v>
      </c>
      <c r="C8" s="24">
        <v>1290.14</v>
      </c>
      <c r="D8" s="25"/>
      <c r="E8" s="25"/>
      <c r="F8" s="25"/>
      <c r="G8" s="25">
        <f t="shared" si="1"/>
        <v>1290.14</v>
      </c>
      <c r="H8" s="25">
        <f>[11]总概算表!C8</f>
        <v>1314.3</v>
      </c>
      <c r="I8" s="25">
        <f>[11]总概算表!D8</f>
        <v>0</v>
      </c>
      <c r="J8" s="25">
        <f>[11]总概算表!E8</f>
        <v>0</v>
      </c>
      <c r="K8" s="25">
        <f>[11]总概算表!F8</f>
        <v>0</v>
      </c>
      <c r="L8" s="71">
        <f>SUM(H8:K8)</f>
        <v>1314.3</v>
      </c>
      <c r="M8" s="72">
        <f>L8-G8</f>
        <v>24.16</v>
      </c>
      <c r="N8" s="73">
        <f>M8/G8</f>
        <v>0.0187</v>
      </c>
      <c r="O8" s="69" t="str">
        <f>[11]总概算表!L8</f>
        <v>详见概算书</v>
      </c>
      <c r="P8" s="70"/>
    </row>
    <row r="9" s="3" customFormat="1" ht="25" customHeight="1" spans="1:17">
      <c r="A9" s="19" t="s">
        <v>23</v>
      </c>
      <c r="B9" s="20" t="s">
        <v>24</v>
      </c>
      <c r="C9" s="26"/>
      <c r="D9" s="27"/>
      <c r="E9" s="28"/>
      <c r="F9" s="21">
        <f>F10+F12</f>
        <v>145.5</v>
      </c>
      <c r="G9" s="21">
        <f t="shared" ref="G9:G15" si="2">F9</f>
        <v>145.5</v>
      </c>
      <c r="H9" s="29"/>
      <c r="I9" s="17"/>
      <c r="J9" s="17"/>
      <c r="K9" s="21">
        <f>K10+K12</f>
        <v>158.85</v>
      </c>
      <c r="L9" s="21">
        <f>K9</f>
        <v>158.85</v>
      </c>
      <c r="M9" s="67">
        <f t="shared" ref="M9:M15" si="3">L9-G9</f>
        <v>13.35</v>
      </c>
      <c r="N9" s="68">
        <f t="shared" ref="N9:N15" si="4">M9/G9</f>
        <v>0.0918</v>
      </c>
      <c r="O9" s="74"/>
      <c r="P9" s="70"/>
      <c r="Q9" s="3" t="str">
        <f t="shared" ref="Q9:Q12" si="5">B9&amp;"，送审概算为"&amp;TEXT(ROUND(G9,2),"0.00")&amp;"万元，"&amp;"评审概算为"&amp;TEXT(ROUND(L9,2),"0.00")&amp;"万元，"&amp;IF(M9&gt;0,"审增","审减")&amp;TEXT(ABS(ROUND(M9,2)),"0.00")&amp;"万元，"&amp;IF(M9&gt;0,"审增幅度","审减幅度")&amp;TEXT(ABS(ROUND(N9*100,2)),"0.00")&amp;"%。"</f>
        <v>工程建设其他费用，送审概算为145.50万元，评审概算为158.85万元，审增13.35万元，审增幅度9.18%。</v>
      </c>
    </row>
    <row r="10" s="3" customFormat="1" ht="25" customHeight="1" spans="1:16">
      <c r="A10" s="30" t="s">
        <v>25</v>
      </c>
      <c r="B10" s="31" t="s">
        <v>26</v>
      </c>
      <c r="C10" s="26"/>
      <c r="D10" s="27"/>
      <c r="E10" s="28"/>
      <c r="F10" s="21">
        <f>F11</f>
        <v>5</v>
      </c>
      <c r="G10" s="21">
        <f t="shared" si="2"/>
        <v>5</v>
      </c>
      <c r="H10" s="26"/>
      <c r="I10" s="27"/>
      <c r="J10" s="28"/>
      <c r="K10" s="21">
        <f>K11</f>
        <v>5</v>
      </c>
      <c r="L10" s="21">
        <f t="shared" ref="L10:L15" si="6">K10</f>
        <v>5</v>
      </c>
      <c r="M10" s="67">
        <f t="shared" si="3"/>
        <v>0</v>
      </c>
      <c r="N10" s="68">
        <f t="shared" si="4"/>
        <v>0</v>
      </c>
      <c r="O10" s="74"/>
      <c r="P10" s="70"/>
    </row>
    <row r="11" s="3" customFormat="1" ht="25" customHeight="1" spans="1:17">
      <c r="A11" s="32">
        <v>1</v>
      </c>
      <c r="B11" s="33" t="s">
        <v>27</v>
      </c>
      <c r="C11" s="34"/>
      <c r="D11" s="35"/>
      <c r="E11" s="35"/>
      <c r="F11" s="25">
        <v>5</v>
      </c>
      <c r="G11" s="24">
        <f t="shared" si="2"/>
        <v>5</v>
      </c>
      <c r="H11" s="34"/>
      <c r="I11" s="35"/>
      <c r="J11" s="35"/>
      <c r="K11" s="25">
        <f>[11]总概算表!F11</f>
        <v>5</v>
      </c>
      <c r="L11" s="24">
        <f t="shared" si="6"/>
        <v>5</v>
      </c>
      <c r="M11" s="72">
        <f t="shared" si="3"/>
        <v>0</v>
      </c>
      <c r="N11" s="73">
        <f t="shared" si="4"/>
        <v>0</v>
      </c>
      <c r="O11" s="69"/>
      <c r="P11" s="70"/>
      <c r="Q11" s="3" t="str">
        <f t="shared" si="5"/>
        <v>土地征用及补偿费，送审概算为5.00万元，评审概算为5.00万元，审减0.00万元，审减幅度0.00%。</v>
      </c>
    </row>
    <row r="12" ht="25" customHeight="1" spans="1:17">
      <c r="A12" s="36" t="s">
        <v>73</v>
      </c>
      <c r="B12" s="37" t="s">
        <v>74</v>
      </c>
      <c r="C12" s="38"/>
      <c r="D12" s="39"/>
      <c r="E12" s="40"/>
      <c r="F12" s="41">
        <f>F13+F14+F15+F16+F18+F19+F20+F26+F27+F28-0.01</f>
        <v>140.5</v>
      </c>
      <c r="G12" s="21">
        <f t="shared" si="2"/>
        <v>140.5</v>
      </c>
      <c r="H12" s="26"/>
      <c r="I12" s="27"/>
      <c r="J12" s="28"/>
      <c r="K12" s="75">
        <f>K13+K14+K15+K16+K18+K19+K20+K26+K27+K28</f>
        <v>153.85</v>
      </c>
      <c r="L12" s="21">
        <f t="shared" si="6"/>
        <v>153.85</v>
      </c>
      <c r="M12" s="67">
        <f t="shared" si="3"/>
        <v>13.35</v>
      </c>
      <c r="N12" s="68">
        <f t="shared" si="4"/>
        <v>0.095</v>
      </c>
      <c r="O12" s="76"/>
      <c r="Q12" s="3" t="str">
        <f t="shared" si="5"/>
        <v>与项目建设有关的其他费用，送审概算为140.50万元，评审概算为153.85万元，审增13.35万元，审增幅度9.50%。</v>
      </c>
    </row>
    <row r="13" s="4" customFormat="1" ht="25" customHeight="1" spans="1:17">
      <c r="A13" s="42">
        <v>1</v>
      </c>
      <c r="B13" s="43" t="s">
        <v>30</v>
      </c>
      <c r="C13" s="44"/>
      <c r="D13" s="45"/>
      <c r="E13" s="46"/>
      <c r="F13" s="47">
        <v>21.67</v>
      </c>
      <c r="G13" s="24">
        <f t="shared" si="2"/>
        <v>21.67</v>
      </c>
      <c r="H13" s="34"/>
      <c r="I13" s="35"/>
      <c r="J13" s="52"/>
      <c r="K13" s="25">
        <f>[11]总概算表!F13</f>
        <v>21.67</v>
      </c>
      <c r="L13" s="24">
        <f t="shared" si="6"/>
        <v>21.67</v>
      </c>
      <c r="M13" s="72">
        <f t="shared" si="3"/>
        <v>0</v>
      </c>
      <c r="N13" s="73">
        <f t="shared" si="4"/>
        <v>0</v>
      </c>
      <c r="O13" s="69" t="str">
        <f>[11]总概算表!L13</f>
        <v>暂按送审金额计算</v>
      </c>
      <c r="P13" s="77"/>
      <c r="Q13" s="82"/>
    </row>
    <row r="14" s="4" customFormat="1" ht="25" customHeight="1" spans="1:17">
      <c r="A14" s="42">
        <v>2</v>
      </c>
      <c r="B14" s="43" t="s">
        <v>32</v>
      </c>
      <c r="C14" s="44"/>
      <c r="D14" s="45"/>
      <c r="E14" s="46"/>
      <c r="F14" s="47">
        <v>21.5</v>
      </c>
      <c r="G14" s="24">
        <f t="shared" si="2"/>
        <v>21.5</v>
      </c>
      <c r="H14" s="34"/>
      <c r="I14" s="35"/>
      <c r="J14" s="52"/>
      <c r="K14" s="25">
        <f>[11]总概算表!F14</f>
        <v>24.12</v>
      </c>
      <c r="L14" s="24">
        <f t="shared" si="6"/>
        <v>24.12</v>
      </c>
      <c r="M14" s="72">
        <f t="shared" si="3"/>
        <v>2.62</v>
      </c>
      <c r="N14" s="73">
        <f t="shared" si="4"/>
        <v>0.1219</v>
      </c>
      <c r="O14" s="78" t="str">
        <f>[11]总概算表!L14</f>
        <v>按2021年《重庆市建筑安装工程设计概算编制办法》并参考市场行情计算</v>
      </c>
      <c r="P14" s="77"/>
      <c r="Q14" s="82"/>
    </row>
    <row r="15" ht="25" customHeight="1" spans="1:15">
      <c r="A15" s="42">
        <v>3</v>
      </c>
      <c r="B15" s="43" t="s">
        <v>35</v>
      </c>
      <c r="C15" s="44"/>
      <c r="D15" s="45"/>
      <c r="E15" s="46"/>
      <c r="F15" s="48">
        <v>6.32</v>
      </c>
      <c r="G15" s="24">
        <f t="shared" si="2"/>
        <v>6.32</v>
      </c>
      <c r="H15" s="34"/>
      <c r="I15" s="35"/>
      <c r="J15" s="52"/>
      <c r="K15" s="25">
        <f>[11]总概算表!F15</f>
        <v>6.52</v>
      </c>
      <c r="L15" s="24">
        <f t="shared" si="6"/>
        <v>6.52</v>
      </c>
      <c r="M15" s="72">
        <f t="shared" si="3"/>
        <v>0.2</v>
      </c>
      <c r="N15" s="73">
        <f t="shared" si="4"/>
        <v>0.0316</v>
      </c>
      <c r="O15" s="78" t="str">
        <f>[11]总概算表!L15</f>
        <v>按2021年《重庆市建筑安装工程设计概算编制办法》计算</v>
      </c>
    </row>
    <row r="16" ht="25" customHeight="1" spans="1:17">
      <c r="A16" s="42">
        <v>4</v>
      </c>
      <c r="B16" s="43" t="s">
        <v>37</v>
      </c>
      <c r="C16" s="44"/>
      <c r="D16" s="45"/>
      <c r="E16" s="46"/>
      <c r="F16" s="24">
        <f>F17</f>
        <v>0</v>
      </c>
      <c r="G16" s="24">
        <f t="shared" ref="G16:G79" si="7">F16</f>
        <v>0</v>
      </c>
      <c r="H16" s="34"/>
      <c r="I16" s="35"/>
      <c r="J16" s="52"/>
      <c r="K16" s="24">
        <f>K17</f>
        <v>2</v>
      </c>
      <c r="L16" s="24">
        <f t="shared" ref="L16:L79" si="8">K16</f>
        <v>2</v>
      </c>
      <c r="M16" s="72">
        <f t="shared" ref="M16:M79" si="9">L16-G16</f>
        <v>2</v>
      </c>
      <c r="N16" s="73"/>
      <c r="O16" s="78"/>
      <c r="Q16" s="3" t="str">
        <f t="shared" ref="Q16:Q20" si="10">B16&amp;"，送审概算为"&amp;TEXT(ROUND(G16,2),"0.00")&amp;"万元，"&amp;"评审概算为"&amp;TEXT(ROUND(L16,2),"0.00")&amp;"万元，"&amp;IF(M16&gt;0,"审增","审减")&amp;TEXT(ABS(ROUND(M16,2)),"0.00")&amp;"万元，"&amp;IF(M16&gt;0,"审增幅度","审减幅度")&amp;TEXT(ABS(ROUND(N16*100,2)),"0.00")&amp;"%。"</f>
        <v>前期工作费，送审概算为0.00万元，评审概算为2.00万元，审增2.00万元，审增幅度0.00%。</v>
      </c>
    </row>
    <row r="17" ht="25" customHeight="1" spans="1:15">
      <c r="A17" s="49">
        <v>4.1</v>
      </c>
      <c r="B17" s="43" t="s">
        <v>38</v>
      </c>
      <c r="C17" s="34"/>
      <c r="D17" s="35"/>
      <c r="E17" s="35"/>
      <c r="F17" s="24">
        <v>0</v>
      </c>
      <c r="G17" s="24">
        <f t="shared" si="7"/>
        <v>0</v>
      </c>
      <c r="H17" s="34"/>
      <c r="I17" s="35"/>
      <c r="J17" s="35"/>
      <c r="K17" s="25">
        <f>[11]总概算表!F17</f>
        <v>2</v>
      </c>
      <c r="L17" s="24">
        <f t="shared" si="8"/>
        <v>2</v>
      </c>
      <c r="M17" s="72">
        <f t="shared" si="9"/>
        <v>2</v>
      </c>
      <c r="N17" s="73"/>
      <c r="O17" s="78" t="str">
        <f>[11]总概算表!L17</f>
        <v>按委托合同计列</v>
      </c>
    </row>
    <row r="18" ht="25" customHeight="1" spans="1:17">
      <c r="A18" s="42">
        <v>5</v>
      </c>
      <c r="B18" s="43" t="s">
        <v>40</v>
      </c>
      <c r="C18" s="34"/>
      <c r="D18" s="35"/>
      <c r="E18" s="35"/>
      <c r="F18" s="24">
        <v>20</v>
      </c>
      <c r="G18" s="24">
        <f t="shared" si="7"/>
        <v>20</v>
      </c>
      <c r="H18" s="34"/>
      <c r="I18" s="35"/>
      <c r="J18" s="35"/>
      <c r="K18" s="25">
        <f>[11]总概算表!F18</f>
        <v>14.47</v>
      </c>
      <c r="L18" s="24">
        <f t="shared" si="8"/>
        <v>14.47</v>
      </c>
      <c r="M18" s="72">
        <f t="shared" si="9"/>
        <v>-5.53</v>
      </c>
      <c r="N18" s="73">
        <f t="shared" ref="N16:N20" si="11">M18/G18</f>
        <v>-0.2765</v>
      </c>
      <c r="O18" s="78" t="str">
        <f>[11]总概算表!L18</f>
        <v>按2021年《重庆市建筑安装工程设计概算编制办法》计算</v>
      </c>
      <c r="Q18" s="3" t="str">
        <f t="shared" si="10"/>
        <v>工程勘察费，送审概算为20.00万元，评审概算为14.47万元，审减5.53万元，审减幅度27.65%。</v>
      </c>
    </row>
    <row r="19" s="4" customFormat="1" ht="25" customHeight="1" spans="1:16">
      <c r="A19" s="42">
        <v>6</v>
      </c>
      <c r="B19" s="50" t="s">
        <v>42</v>
      </c>
      <c r="C19" s="34"/>
      <c r="D19" s="35"/>
      <c r="E19" s="35"/>
      <c r="F19" s="24">
        <v>39.06</v>
      </c>
      <c r="G19" s="24">
        <f t="shared" si="7"/>
        <v>39.06</v>
      </c>
      <c r="H19" s="34"/>
      <c r="I19" s="35"/>
      <c r="J19" s="35"/>
      <c r="K19" s="25">
        <f>[11]总概算表!F19</f>
        <v>43.38</v>
      </c>
      <c r="L19" s="24">
        <f t="shared" si="8"/>
        <v>43.38</v>
      </c>
      <c r="M19" s="72">
        <f t="shared" si="9"/>
        <v>4.32</v>
      </c>
      <c r="N19" s="73">
        <f t="shared" si="11"/>
        <v>0.1106</v>
      </c>
      <c r="O19" s="78" t="str">
        <f>[11]总概算表!L19</f>
        <v>按委托合同计列</v>
      </c>
      <c r="P19" s="77"/>
    </row>
    <row r="20" ht="25" customHeight="1" spans="1:17">
      <c r="A20" s="42">
        <v>7</v>
      </c>
      <c r="B20" s="43" t="s">
        <v>43</v>
      </c>
      <c r="C20" s="34"/>
      <c r="D20" s="35"/>
      <c r="E20" s="35"/>
      <c r="F20" s="51">
        <f>F21+F22</f>
        <v>22.03</v>
      </c>
      <c r="G20" s="24">
        <f t="shared" si="7"/>
        <v>22.03</v>
      </c>
      <c r="H20" s="34"/>
      <c r="I20" s="35"/>
      <c r="J20" s="35"/>
      <c r="K20" s="51">
        <f>K21+K22</f>
        <v>23.24</v>
      </c>
      <c r="L20" s="24">
        <f t="shared" si="8"/>
        <v>23.24</v>
      </c>
      <c r="M20" s="72">
        <f t="shared" si="9"/>
        <v>1.21</v>
      </c>
      <c r="N20" s="73">
        <f t="shared" si="11"/>
        <v>0.0549</v>
      </c>
      <c r="O20" s="76"/>
      <c r="Q20" s="3" t="str">
        <f t="shared" si="10"/>
        <v>咨询费，送审概算为22.03万元，评审概算为23.24万元，审增1.21万元，审增幅度5.49%。</v>
      </c>
    </row>
    <row r="21" s="4" customFormat="1" ht="25" customHeight="1" spans="1:16">
      <c r="A21" s="49">
        <v>7.1</v>
      </c>
      <c r="B21" s="50" t="s">
        <v>44</v>
      </c>
      <c r="C21" s="34"/>
      <c r="D21" s="35"/>
      <c r="E21" s="52"/>
      <c r="F21" s="51">
        <v>3.07</v>
      </c>
      <c r="G21" s="24">
        <f t="shared" si="7"/>
        <v>3.07</v>
      </c>
      <c r="H21" s="34"/>
      <c r="I21" s="35"/>
      <c r="J21" s="52"/>
      <c r="K21" s="25">
        <f>[11]总概算表!F21</f>
        <v>4.34</v>
      </c>
      <c r="L21" s="24">
        <f t="shared" si="8"/>
        <v>4.34</v>
      </c>
      <c r="M21" s="72">
        <f t="shared" si="9"/>
        <v>1.27</v>
      </c>
      <c r="N21" s="73">
        <f t="shared" ref="N21:N27" si="12">M21/G21</f>
        <v>0.4137</v>
      </c>
      <c r="O21" s="78" t="str">
        <f>[11]总概算表!L21</f>
        <v>按2021年《重庆市建筑安装工程设计概算编制办法》计算</v>
      </c>
      <c r="P21" s="77"/>
    </row>
    <row r="22" ht="25" customHeight="1" spans="1:17">
      <c r="A22" s="49">
        <v>7.2</v>
      </c>
      <c r="B22" s="43" t="s">
        <v>45</v>
      </c>
      <c r="C22" s="44"/>
      <c r="D22" s="45"/>
      <c r="E22" s="46"/>
      <c r="F22" s="51">
        <v>18.96</v>
      </c>
      <c r="G22" s="24">
        <f t="shared" si="7"/>
        <v>18.96</v>
      </c>
      <c r="H22" s="34"/>
      <c r="I22" s="35"/>
      <c r="J22" s="52"/>
      <c r="K22" s="51">
        <f>SUM(K23:K25)</f>
        <v>18.9</v>
      </c>
      <c r="L22" s="24">
        <f t="shared" si="8"/>
        <v>18.9</v>
      </c>
      <c r="M22" s="72">
        <f t="shared" si="9"/>
        <v>-0.06</v>
      </c>
      <c r="N22" s="73">
        <f t="shared" si="12"/>
        <v>-0.0032</v>
      </c>
      <c r="O22" s="76"/>
      <c r="Q22" s="3" t="str">
        <f>B22&amp;"，送审概算为"&amp;TEXT(ROUND(G22,2),"0.00")&amp;"万元，"&amp;"评审概算为"&amp;TEXT(ROUND(L22,2),"0.00")&amp;"万元，"&amp;IF(M22&gt;0,"审增","审减")&amp;TEXT(ABS(ROUND(M22,2)),"0.00")&amp;"万元，"&amp;IF(M22&gt;0,"审增幅度","审减幅度")&amp;TEXT(ABS(ROUND(N22*100,2)),"0.00")&amp;"%。"</f>
        <v>工程造价咨询费，送审概算为18.96万元，评审概算为18.90万元，审减0.06万元，审减幅度0.32%。</v>
      </c>
    </row>
    <row r="23" ht="25" customHeight="1" spans="1:17">
      <c r="A23" s="42" t="s">
        <v>46</v>
      </c>
      <c r="B23" s="43" t="s">
        <v>47</v>
      </c>
      <c r="C23" s="44"/>
      <c r="D23" s="45"/>
      <c r="E23" s="46"/>
      <c r="F23" s="53"/>
      <c r="G23" s="24">
        <f t="shared" si="7"/>
        <v>0</v>
      </c>
      <c r="H23" s="34"/>
      <c r="I23" s="35"/>
      <c r="J23" s="52"/>
      <c r="K23" s="25">
        <f>[11]总概算表!F23</f>
        <v>5.25</v>
      </c>
      <c r="L23" s="24">
        <f t="shared" si="8"/>
        <v>5.25</v>
      </c>
      <c r="M23" s="72">
        <f t="shared" si="9"/>
        <v>5.25</v>
      </c>
      <c r="N23" s="73"/>
      <c r="O23" s="78" t="str">
        <f>[11]总概算表!L23</f>
        <v>按2021年《重庆市建筑安装工程设计概算编制办法》计算</v>
      </c>
      <c r="Q23" s="3" t="str">
        <f t="shared" ref="Q23:Q25" si="13">B23&amp;"，送审概算为"&amp;TEXT(ROUND(G23,2),"0.00")&amp;"万元。"&amp;"评审概算为"&amp;TEXT(ROUND(L23,2),"0.00")&amp;"万元，"&amp;IF(M23&gt;0,"审增","审减")&amp;TEXT(ABS(ROUND(M23,2)),"0.00")&amp;"万元，"&amp;IF(M23&gt;0,"审增幅度","审减幅度")&amp;TEXT(ABS(ROUND(N23*100,2)),"0.00")&amp;"%。"</f>
        <v>工程量清单及组价编制，送审概算为0.00万元。评审概算为5.25万元，审增5.25万元，审增幅度0.00%。</v>
      </c>
    </row>
    <row r="24" ht="25" customHeight="1" spans="1:17">
      <c r="A24" s="42" t="s">
        <v>48</v>
      </c>
      <c r="B24" s="50" t="s">
        <v>75</v>
      </c>
      <c r="C24" s="44"/>
      <c r="D24" s="45"/>
      <c r="E24" s="46"/>
      <c r="F24" s="51"/>
      <c r="G24" s="24">
        <f t="shared" si="7"/>
        <v>0</v>
      </c>
      <c r="H24" s="34"/>
      <c r="I24" s="35"/>
      <c r="J24" s="52"/>
      <c r="K24" s="25">
        <f>[11]总概算表!F24</f>
        <v>5.25</v>
      </c>
      <c r="L24" s="24">
        <f t="shared" si="8"/>
        <v>5.25</v>
      </c>
      <c r="M24" s="72">
        <f t="shared" si="9"/>
        <v>5.25</v>
      </c>
      <c r="N24" s="73"/>
      <c r="O24" s="78" t="str">
        <f>[11]总概算表!L24</f>
        <v>按2021年《重庆市建筑安装工程设计概算编制办法》计算</v>
      </c>
      <c r="Q24" s="3" t="str">
        <f t="shared" si="13"/>
        <v>工程量清单及组价审核，送审概算为0.00万元。评审概算为5.25万元，审增5.25万元，审增幅度0.00%。</v>
      </c>
    </row>
    <row r="25" ht="25" customHeight="1" spans="1:17">
      <c r="A25" s="42" t="s">
        <v>50</v>
      </c>
      <c r="B25" s="50" t="s">
        <v>51</v>
      </c>
      <c r="C25" s="44"/>
      <c r="D25" s="45"/>
      <c r="E25" s="46"/>
      <c r="F25" s="51"/>
      <c r="G25" s="24">
        <f t="shared" si="7"/>
        <v>0</v>
      </c>
      <c r="H25" s="34"/>
      <c r="I25" s="35"/>
      <c r="J25" s="52"/>
      <c r="K25" s="25">
        <f>[11]总概算表!F25</f>
        <v>8.4</v>
      </c>
      <c r="L25" s="24">
        <f t="shared" si="8"/>
        <v>8.4</v>
      </c>
      <c r="M25" s="72">
        <f t="shared" si="9"/>
        <v>8.4</v>
      </c>
      <c r="N25" s="73"/>
      <c r="O25" s="78" t="str">
        <f>[11]总概算表!L25</f>
        <v>按2021年《重庆市建筑安装工程设计概算编制办法》计算</v>
      </c>
      <c r="Q25" s="3" t="str">
        <f t="shared" si="13"/>
        <v>工程量清单结算审核，送审概算为0.00万元。评审概算为8.40万元，审增8.40万元，审增幅度0.00%。</v>
      </c>
    </row>
    <row r="26" ht="25" customHeight="1" spans="1:15">
      <c r="A26" s="42">
        <v>8</v>
      </c>
      <c r="B26" s="43" t="s">
        <v>52</v>
      </c>
      <c r="C26" s="44"/>
      <c r="D26" s="45"/>
      <c r="E26" s="46"/>
      <c r="F26" s="51">
        <v>5.42</v>
      </c>
      <c r="G26" s="24">
        <f t="shared" si="7"/>
        <v>5.42</v>
      </c>
      <c r="H26" s="34"/>
      <c r="I26" s="35"/>
      <c r="J26" s="52"/>
      <c r="K26" s="25">
        <f>[11]总概算表!F26</f>
        <v>5.37</v>
      </c>
      <c r="L26" s="24">
        <f t="shared" si="8"/>
        <v>5.37</v>
      </c>
      <c r="M26" s="72">
        <f t="shared" si="9"/>
        <v>-0.05</v>
      </c>
      <c r="N26" s="73">
        <f t="shared" si="12"/>
        <v>-0.0092</v>
      </c>
      <c r="O26" s="78" t="str">
        <f>[11]总概算表!L26</f>
        <v>按2021年《重庆市建筑安装工程设计概算编制办法》计算</v>
      </c>
    </row>
    <row r="27" s="4" customFormat="1" ht="25" customHeight="1" spans="1:16">
      <c r="A27" s="42">
        <v>9</v>
      </c>
      <c r="B27" s="43" t="s">
        <v>53</v>
      </c>
      <c r="C27" s="44"/>
      <c r="D27" s="45"/>
      <c r="E27" s="46"/>
      <c r="F27" s="51">
        <v>0</v>
      </c>
      <c r="G27" s="24">
        <f t="shared" si="7"/>
        <v>0</v>
      </c>
      <c r="H27" s="34"/>
      <c r="I27" s="35"/>
      <c r="J27" s="52"/>
      <c r="K27" s="25">
        <f>[11]总概算表!F27</f>
        <v>8.96</v>
      </c>
      <c r="L27" s="24">
        <f t="shared" si="8"/>
        <v>8.96</v>
      </c>
      <c r="M27" s="72">
        <f t="shared" si="9"/>
        <v>8.96</v>
      </c>
      <c r="N27" s="73"/>
      <c r="O27" s="78" t="str">
        <f>[11]总概算表!L27</f>
        <v>按2021年《重庆市建筑安装工程设计概算编制办法》计算</v>
      </c>
      <c r="P27" s="77"/>
    </row>
    <row r="28" ht="25" customHeight="1" spans="1:15">
      <c r="A28" s="42">
        <v>10</v>
      </c>
      <c r="B28" s="43" t="s">
        <v>54</v>
      </c>
      <c r="C28" s="44"/>
      <c r="D28" s="45"/>
      <c r="E28" s="46"/>
      <c r="F28" s="25">
        <f>F29</f>
        <v>4.51</v>
      </c>
      <c r="G28" s="24">
        <f t="shared" si="7"/>
        <v>4.51</v>
      </c>
      <c r="H28" s="34"/>
      <c r="I28" s="35"/>
      <c r="J28" s="52"/>
      <c r="K28" s="25">
        <f>K29</f>
        <v>4.12</v>
      </c>
      <c r="L28" s="24">
        <f t="shared" si="8"/>
        <v>4.12</v>
      </c>
      <c r="M28" s="72">
        <f t="shared" si="9"/>
        <v>-0.39</v>
      </c>
      <c r="N28" s="73">
        <f>M28/G28</f>
        <v>-0.0865</v>
      </c>
      <c r="O28" s="79"/>
    </row>
    <row r="29" ht="25" customHeight="1" spans="1:15">
      <c r="A29" s="54" t="s">
        <v>55</v>
      </c>
      <c r="B29" s="50" t="s">
        <v>56</v>
      </c>
      <c r="C29" s="44"/>
      <c r="D29" s="45"/>
      <c r="E29" s="46"/>
      <c r="F29" s="51">
        <v>4.51</v>
      </c>
      <c r="G29" s="24">
        <f t="shared" si="7"/>
        <v>4.51</v>
      </c>
      <c r="H29" s="34"/>
      <c r="I29" s="35"/>
      <c r="J29" s="52"/>
      <c r="K29" s="25">
        <f>[11]总概算表!F29</f>
        <v>4.12</v>
      </c>
      <c r="L29" s="24">
        <f t="shared" si="8"/>
        <v>4.12</v>
      </c>
      <c r="M29" s="72">
        <f t="shared" si="9"/>
        <v>-0.39</v>
      </c>
      <c r="N29" s="73">
        <f>M29/G29</f>
        <v>-0.0865</v>
      </c>
      <c r="O29" s="78" t="str">
        <f>[11]总概算表!L29</f>
        <v>渝价[2011]257号文</v>
      </c>
    </row>
    <row r="30" ht="25" customHeight="1" spans="1:15">
      <c r="A30" s="55" t="s">
        <v>76</v>
      </c>
      <c r="B30" s="56" t="s">
        <v>77</v>
      </c>
      <c r="C30" s="38"/>
      <c r="D30" s="39"/>
      <c r="E30" s="40"/>
      <c r="F30" s="29">
        <f>F31</f>
        <v>97.55</v>
      </c>
      <c r="G30" s="21">
        <f t="shared" si="7"/>
        <v>97.55</v>
      </c>
      <c r="H30" s="26"/>
      <c r="I30" s="27"/>
      <c r="J30" s="28"/>
      <c r="K30" s="29">
        <f>K31</f>
        <v>97.26</v>
      </c>
      <c r="L30" s="21">
        <f t="shared" si="8"/>
        <v>97.26</v>
      </c>
      <c r="M30" s="67">
        <f t="shared" si="9"/>
        <v>-0.29</v>
      </c>
      <c r="N30" s="68">
        <f>M30/G30</f>
        <v>-0.003</v>
      </c>
      <c r="O30" s="79"/>
    </row>
    <row r="31" ht="25" customHeight="1" spans="1:17">
      <c r="A31" s="22">
        <v>1</v>
      </c>
      <c r="B31" s="57" t="s">
        <v>60</v>
      </c>
      <c r="C31" s="44"/>
      <c r="D31" s="45"/>
      <c r="E31" s="46"/>
      <c r="F31" s="51">
        <v>97.55</v>
      </c>
      <c r="G31" s="24">
        <f t="shared" si="7"/>
        <v>97.55</v>
      </c>
      <c r="H31" s="34"/>
      <c r="I31" s="35"/>
      <c r="J31" s="52"/>
      <c r="K31" s="25">
        <f>[11]总概算表!F31</f>
        <v>97.26</v>
      </c>
      <c r="L31" s="24">
        <f t="shared" si="8"/>
        <v>97.26</v>
      </c>
      <c r="M31" s="72">
        <f t="shared" si="9"/>
        <v>-0.29</v>
      </c>
      <c r="N31" s="73">
        <f>M31/G31</f>
        <v>-0.003</v>
      </c>
      <c r="O31" s="78" t="str">
        <f>[11]总概算表!L31</f>
        <v>（一+二-土地征用及补偿费）*5%</v>
      </c>
      <c r="Q31" s="3" t="str">
        <f>B31&amp;"，送审概算为"&amp;TEXT(ROUND(G31,2),"0.00")&amp;"万元。"&amp;"评审概算为"&amp;TEXT(ROUND(L31,2),"0.00")&amp;"万元，"&amp;IF(M31&gt;0,"审增","审减")&amp;TEXT(ABS(ROUND(M31,2)),"0.00")&amp;"万元，"&amp;IF(M31&gt;0,"审增幅度","审减幅度")&amp;TEXT(ABS(ROUND(N31*100,2)),"0.00")&amp;"%。"</f>
        <v>基本预备费，送审概算为97.55万元。评审概算为97.26万元，审减0.29万元，审减幅度0.30%。</v>
      </c>
    </row>
    <row r="32" ht="25" customHeight="1" spans="1:15">
      <c r="A32" s="19" t="s">
        <v>62</v>
      </c>
      <c r="B32" s="57" t="s">
        <v>63</v>
      </c>
      <c r="C32" s="26"/>
      <c r="D32" s="27"/>
      <c r="E32" s="28"/>
      <c r="F32" s="58"/>
      <c r="G32" s="21">
        <f>+G30+G9+G5</f>
        <v>2048.49</v>
      </c>
      <c r="H32" s="34"/>
      <c r="I32" s="35"/>
      <c r="J32" s="52"/>
      <c r="K32" s="21"/>
      <c r="L32" s="21">
        <f>+L30+L9+L5</f>
        <v>2047.46</v>
      </c>
      <c r="M32" s="67">
        <f t="shared" si="9"/>
        <v>-1.03</v>
      </c>
      <c r="N32" s="68">
        <f>M32/G32</f>
        <v>-0.0005</v>
      </c>
      <c r="O32" s="80" t="s">
        <v>78</v>
      </c>
    </row>
    <row r="34" customHeight="1" spans="11:11">
      <c r="K34" s="2"/>
    </row>
    <row r="36" customHeight="1" spans="13:13">
      <c r="M36" s="81"/>
    </row>
    <row r="40" customHeight="1" spans="12:12">
      <c r="L40" s="81"/>
    </row>
  </sheetData>
  <mergeCells count="56">
    <mergeCell ref="A1:O1"/>
    <mergeCell ref="A2:L2"/>
    <mergeCell ref="C3:G3"/>
    <mergeCell ref="H3:L3"/>
    <mergeCell ref="C9:E9"/>
    <mergeCell ref="C10:E10"/>
    <mergeCell ref="H10:J10"/>
    <mergeCell ref="C11:E11"/>
    <mergeCell ref="H11:J11"/>
    <mergeCell ref="C12:E12"/>
    <mergeCell ref="H12:J12"/>
    <mergeCell ref="C13:E13"/>
    <mergeCell ref="H13:J13"/>
    <mergeCell ref="C14:E14"/>
    <mergeCell ref="H14:J14"/>
    <mergeCell ref="C15:E15"/>
    <mergeCell ref="H15:J15"/>
    <mergeCell ref="C16:E16"/>
    <mergeCell ref="H16:J16"/>
    <mergeCell ref="C17:E17"/>
    <mergeCell ref="H17:J17"/>
    <mergeCell ref="C18:E18"/>
    <mergeCell ref="H18:J18"/>
    <mergeCell ref="C19:E19"/>
    <mergeCell ref="H19:J19"/>
    <mergeCell ref="C20:E20"/>
    <mergeCell ref="H20:J20"/>
    <mergeCell ref="C21:E21"/>
    <mergeCell ref="H21:J21"/>
    <mergeCell ref="C22:E22"/>
    <mergeCell ref="H22:J22"/>
    <mergeCell ref="C23:E23"/>
    <mergeCell ref="H23:J23"/>
    <mergeCell ref="C24:E24"/>
    <mergeCell ref="H24:J24"/>
    <mergeCell ref="C25:E25"/>
    <mergeCell ref="H25:J25"/>
    <mergeCell ref="C26:E26"/>
    <mergeCell ref="H26:J26"/>
    <mergeCell ref="C27:E27"/>
    <mergeCell ref="H27:J27"/>
    <mergeCell ref="C28:E28"/>
    <mergeCell ref="H28:J28"/>
    <mergeCell ref="C29:E29"/>
    <mergeCell ref="H29:J29"/>
    <mergeCell ref="C30:E30"/>
    <mergeCell ref="H30:J30"/>
    <mergeCell ref="C31:E31"/>
    <mergeCell ref="H31:J31"/>
    <mergeCell ref="C32:E32"/>
    <mergeCell ref="H32:J32"/>
    <mergeCell ref="A3:A4"/>
    <mergeCell ref="B3:B4"/>
    <mergeCell ref="M3:M4"/>
    <mergeCell ref="N3:N4"/>
    <mergeCell ref="O3:O4"/>
  </mergeCells>
  <conditionalFormatting sqref="A7">
    <cfRule type="cellIs" dxfId="0" priority="6" stopIfTrue="1" operator="equal">
      <formula>0</formula>
    </cfRule>
  </conditionalFormatting>
  <conditionalFormatting sqref="A8">
    <cfRule type="cellIs" dxfId="0" priority="7" stopIfTrue="1" operator="equal">
      <formula>0</formula>
    </cfRule>
  </conditionalFormatting>
  <conditionalFormatting sqref="A9">
    <cfRule type="cellIs" dxfId="0" priority="2" stopIfTrue="1" operator="equal">
      <formula>0</formula>
    </cfRule>
  </conditionalFormatting>
  <conditionalFormatting sqref="A32">
    <cfRule type="cellIs" dxfId="0" priority="5" stopIfTrue="1" operator="equal">
      <formula>0</formula>
    </cfRule>
  </conditionalFormatting>
  <conditionalFormatting sqref="A5:A6">
    <cfRule type="cellIs" dxfId="0" priority="8" stopIfTrue="1" operator="equal">
      <formula>0</formula>
    </cfRule>
  </conditionalFormatting>
  <conditionalFormatting sqref="A30:A31">
    <cfRule type="cellIs" dxfId="0" priority="1" stopIfTrue="1" operator="equal">
      <formula>0</formula>
    </cfRule>
  </conditionalFormatting>
  <printOptions horizontalCentered="1"/>
  <pageMargins left="0.511811023622047" right="0.511811023622047" top="0.62992125984252" bottom="0.47244094488189" header="0.31496062992126" footer="0.31496062992126"/>
  <pageSetup paperSize="9" scale="90" orientation="landscape"/>
  <headerFooter alignWithMargins="0">
    <oddFooter>&amp;C第 &amp;P 页，共 &amp;N 页</oddFoot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1 1 " > < c o m m e n t   s : r e f = " I 1 "   r g b C l r = " F 5 C B 0 8 " / > < c o m m e n t   s : r e f = " I 2 "   r g b C l r = " F 5 C B 0 8 " / > < c o m m e n t   s : r e f = " J 2 "   r g b C l r = " F 5 C B 0 8 " / > < c o m m e n t   s : r e f = " K 2 "   r g b C l r = " F 5 C B 0 8 " / > < / c o m m e n t L i s t > < c o m m e n t L i s t   s h e e t S t i d = " 3 9 " > < c o m m e n t   s : r e f = " Q 1 9 "   r g b C l r = " 6 F C 7 6 C " / > < c o m m e n t   s : r e f = " Q 2 7 "   r g b C l r = " 6 F C 7 6 C " / > < / c o m m e n t L i s t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总概算表-隐藏</vt:lpstr>
      <vt:lpstr>总概算表对比表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郑禹</dc:creator>
  <cp:lastModifiedBy>猫咪老师</cp:lastModifiedBy>
  <dcterms:created xsi:type="dcterms:W3CDTF">2014-06-13T11:52:00Z</dcterms:created>
  <cp:lastPrinted>2022-10-18T03:50:00Z</cp:lastPrinted>
  <dcterms:modified xsi:type="dcterms:W3CDTF">2022-11-17T02:45:02Z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92B36DDE4ACC4575BE93F55BB9E72707</vt:lpwstr>
  </property>
  <property fmtid="{D5CDD505-2E9C-101B-9397-08002B2CF9AE}" pid="4" name="KSOReadingLayout">
    <vt:bool>true</vt:bool>
  </property>
</Properties>
</file>