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概算汇总表" sheetId="1" r:id="rId1"/>
    <sheet name="对比表" sheetId="3" state="hidden" r:id="rId2"/>
  </sheets>
  <definedNames>
    <definedName name="_xlnm.Print_Area" localSheetId="0">概算汇总表!$A$1:$K$47</definedName>
    <definedName name="_xlnm.Print_Titles" localSheetId="0">概算汇总表!$1:$3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<sst xmlns="http://schemas.openxmlformats.org/spreadsheetml/2006/main" count="116" uniqueCount="81">
  <si>
    <t xml:space="preserve">        大足高新区雨水管网改造工程(二标段)
    概算汇总表</t>
  </si>
  <si>
    <t>序号</t>
  </si>
  <si>
    <t>名称</t>
  </si>
  <si>
    <t>概算金额（万元）</t>
  </si>
  <si>
    <r>
      <rPr>
        <b/>
        <sz val="10"/>
        <rFont val="宋体"/>
        <charset val="134"/>
      </rPr>
      <t>占总投资比例</t>
    </r>
    <r>
      <rPr>
        <b/>
        <sz val="10"/>
        <rFont val="Times New Roman"/>
        <charset val="204"/>
      </rPr>
      <t>%</t>
    </r>
  </si>
  <si>
    <t>备注</t>
  </si>
  <si>
    <t>建安工程费</t>
  </si>
  <si>
    <t>设备购置费</t>
  </si>
  <si>
    <t>其它费用</t>
  </si>
  <si>
    <r>
      <rPr>
        <b/>
        <sz val="10"/>
        <rFont val="宋体"/>
        <charset val="134"/>
      </rPr>
      <t>合</t>
    </r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计</t>
    </r>
  </si>
  <si>
    <t>单位</t>
  </si>
  <si>
    <t>数量</t>
  </si>
  <si>
    <t>单位造价（元）</t>
  </si>
  <si>
    <t>一</t>
  </si>
  <si>
    <t>建筑安装工程费</t>
  </si>
  <si>
    <t>m</t>
  </si>
  <si>
    <t>（一）</t>
  </si>
  <si>
    <t>龙水镇</t>
  </si>
  <si>
    <t>道路工程</t>
  </si>
  <si>
    <t>排水工程</t>
  </si>
  <si>
    <t>交通工程</t>
  </si>
  <si>
    <t>（二）</t>
  </si>
  <si>
    <t>万古镇</t>
  </si>
  <si>
    <t>（三）</t>
  </si>
  <si>
    <t>三驱镇</t>
  </si>
  <si>
    <t>污水干管</t>
  </si>
  <si>
    <t>二</t>
  </si>
  <si>
    <t>工程建设其他费用</t>
  </si>
  <si>
    <t>㈠</t>
  </si>
  <si>
    <t>项目建设用地费用</t>
  </si>
  <si>
    <t>㈡</t>
  </si>
  <si>
    <t>与项目建设有关的其他费用</t>
  </si>
  <si>
    <t>场地准备费及临时设施费</t>
  </si>
  <si>
    <r>
      <rPr>
        <sz val="9"/>
        <rFont val="Times New Roman"/>
        <charset val="134"/>
      </rPr>
      <t>2021</t>
    </r>
    <r>
      <rPr>
        <sz val="9"/>
        <rFont val="宋体"/>
        <charset val="134"/>
      </rPr>
      <t>年概算编制办法</t>
    </r>
  </si>
  <si>
    <t>项目建设管理费</t>
  </si>
  <si>
    <t>工程建设监理费</t>
  </si>
  <si>
    <t>工程招标代理服务费</t>
  </si>
  <si>
    <t>招标交易服务费</t>
  </si>
  <si>
    <t>前期工作费</t>
  </si>
  <si>
    <t>可研编制和评估费</t>
  </si>
  <si>
    <t>根据已提供合同资料计算</t>
  </si>
  <si>
    <t>环境影响评价费</t>
  </si>
  <si>
    <t>地质灾害危险性评估费</t>
  </si>
  <si>
    <t>社会稳定风险评估费</t>
  </si>
  <si>
    <t>前期调研</t>
  </si>
  <si>
    <t>根据已提供合同资料扣减一标段计算</t>
  </si>
  <si>
    <t>排水管网排查</t>
  </si>
  <si>
    <t>工程勘察费</t>
  </si>
  <si>
    <t>工程设计费</t>
  </si>
  <si>
    <t>咨询费</t>
  </si>
  <si>
    <t>设计咨询费(含施工图审查费）</t>
  </si>
  <si>
    <t>工程量清单及组价编制及审核费</t>
  </si>
  <si>
    <t>施工阶段工程造价全过程控制费</t>
  </si>
  <si>
    <r>
      <rPr>
        <sz val="9"/>
        <rFont val="宋体"/>
        <charset val="134"/>
      </rPr>
      <t>渝价【</t>
    </r>
    <r>
      <rPr>
        <sz val="9"/>
        <rFont val="Times New Roman"/>
        <charset val="134"/>
      </rPr>
      <t>2013</t>
    </r>
    <r>
      <rPr>
        <sz val="9"/>
        <rFont val="宋体"/>
        <charset val="134"/>
      </rPr>
      <t>】</t>
    </r>
    <r>
      <rPr>
        <sz val="9"/>
        <rFont val="Times New Roman"/>
        <charset val="134"/>
      </rPr>
      <t>428</t>
    </r>
    <r>
      <rPr>
        <sz val="9"/>
        <rFont val="宋体"/>
        <charset val="134"/>
      </rPr>
      <t>号文</t>
    </r>
  </si>
  <si>
    <t>工程保险费</t>
  </si>
  <si>
    <t>安全生产保障费</t>
  </si>
  <si>
    <t>水土保持补偿费</t>
  </si>
  <si>
    <r>
      <rPr>
        <sz val="9"/>
        <rFont val="宋体"/>
        <charset val="134"/>
      </rPr>
      <t>渝价【</t>
    </r>
    <r>
      <rPr>
        <sz val="9"/>
        <rFont val="Times New Roman"/>
        <charset val="134"/>
      </rPr>
      <t>2017</t>
    </r>
    <r>
      <rPr>
        <sz val="9"/>
        <rFont val="宋体"/>
        <charset val="134"/>
      </rPr>
      <t>】</t>
    </r>
    <r>
      <rPr>
        <sz val="9"/>
        <rFont val="Times New Roman"/>
        <charset val="134"/>
      </rPr>
      <t>81</t>
    </r>
    <r>
      <rPr>
        <sz val="9"/>
        <rFont val="宋体"/>
        <charset val="134"/>
      </rPr>
      <t>号文</t>
    </r>
  </si>
  <si>
    <t>城市道路占用挖掘及市政设施损坏补偿费</t>
  </si>
  <si>
    <t>渝价【2009】442号</t>
  </si>
  <si>
    <t>三</t>
  </si>
  <si>
    <t>预备费</t>
  </si>
  <si>
    <t>基本预备费</t>
  </si>
  <si>
    <r>
      <rPr>
        <sz val="9"/>
        <rFont val="Times New Roman"/>
        <charset val="134"/>
      </rPr>
      <t>(</t>
    </r>
    <r>
      <rPr>
        <sz val="9"/>
        <rFont val="宋体"/>
        <charset val="134"/>
      </rPr>
      <t>一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二</t>
    </r>
    <r>
      <rPr>
        <sz val="9"/>
        <rFont val="Times New Roman"/>
        <charset val="134"/>
      </rPr>
      <t>)*3%</t>
    </r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</si>
  <si>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~</t>
    </r>
    <r>
      <rPr>
        <b/>
        <sz val="10"/>
        <rFont val="宋体"/>
        <charset val="134"/>
      </rPr>
      <t>三合计</t>
    </r>
  </si>
  <si>
    <t>四</t>
  </si>
  <si>
    <t>建设期贷款利息</t>
  </si>
  <si>
    <t>不计</t>
  </si>
  <si>
    <t>五</t>
  </si>
  <si>
    <t>建设项目概算总投资</t>
  </si>
  <si>
    <t>一+二+三+四</t>
  </si>
  <si>
    <t>工程或费用名称</t>
  </si>
  <si>
    <t>可研批复金额（万元）</t>
  </si>
  <si>
    <t>概算送审金额（万元）</t>
  </si>
  <si>
    <t>概算与可研批复差额（万元）</t>
  </si>
  <si>
    <t>比可研批复增(减)比例</t>
  </si>
  <si>
    <t>学府二路段</t>
  </si>
  <si>
    <t>峡谷公园段</t>
  </si>
  <si>
    <t>工程建设其他费</t>
  </si>
  <si>
    <t>可研按8%计算，概算按5%计算</t>
  </si>
  <si>
    <t>总投资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</si>
</sst>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40">
    <font>
      <sz val="10"/>
      <color rgb="FF000000"/>
      <name val="Times New Roman"/>
      <charset val="204"/>
    </font>
    <font>
      <sz val="11"/>
      <color rgb="FF000000"/>
      <name val="宋体"/>
      <charset val="134"/>
    </font>
    <font>
      <sz val="10"/>
      <name val="Times New Roman"/>
      <charset val="204"/>
    </font>
    <font>
      <sz val="10.5"/>
      <name val="Times New Roman"/>
      <charset val="204"/>
    </font>
    <font>
      <sz val="9"/>
      <name val="Times New Roman"/>
      <charset val="204"/>
    </font>
    <font>
      <b/>
      <sz val="9"/>
      <name val="Times New Roman"/>
      <charset val="204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8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11"/>
      <name val="Times New Roman"/>
      <charset val="0"/>
    </font>
    <font>
      <b/>
      <sz val="10"/>
      <name val="宋体"/>
      <charset val="204"/>
    </font>
    <font>
      <b/>
      <sz val="10"/>
      <name val="Times New Roman"/>
      <charset val="204"/>
    </font>
    <font>
      <b/>
      <sz val="9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9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0" applyNumberFormat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6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0" fontId="1" fillId="0" borderId="3" xfId="0" applyNumberFormat="1" applyFont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left" vertical="top"/>
    </xf>
    <xf numFmtId="176" fontId="3" fillId="0" borderId="0" xfId="0" applyNumberFormat="1" applyFont="1" applyFill="1" applyBorder="1" applyAlignment="1">
      <alignment horizontal="left" vertical="top"/>
    </xf>
    <xf numFmtId="176" fontId="4" fillId="0" borderId="0" xfId="0" applyNumberFormat="1" applyFont="1" applyFill="1" applyBorder="1" applyAlignment="1">
      <alignment horizontal="left" vertical="top"/>
    </xf>
    <xf numFmtId="176" fontId="5" fillId="0" borderId="0" xfId="0" applyNumberFormat="1" applyFont="1" applyFill="1" applyBorder="1" applyAlignment="1">
      <alignment horizontal="left" vertical="top"/>
    </xf>
    <xf numFmtId="176" fontId="2" fillId="0" borderId="0" xfId="0" applyNumberFormat="1" applyFont="1" applyFill="1" applyBorder="1" applyAlignment="1">
      <alignment horizontal="center" vertical="top"/>
    </xf>
    <xf numFmtId="176" fontId="2" fillId="0" borderId="0" xfId="0" applyNumberFormat="1" applyFont="1" applyFill="1" applyBorder="1" applyAlignment="1">
      <alignment horizontal="left" vertical="top" wrapText="1"/>
    </xf>
    <xf numFmtId="176" fontId="2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center" vertical="center" shrinkToFit="1"/>
    </xf>
    <xf numFmtId="177" fontId="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 shrinkToFit="1"/>
    </xf>
    <xf numFmtId="176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vertical="center" shrinkToFit="1"/>
    </xf>
    <xf numFmtId="176" fontId="11" fillId="0" borderId="1" xfId="0" applyNumberFormat="1" applyFont="1" applyFill="1" applyBorder="1" applyAlignment="1">
      <alignment vertical="center" shrinkToFit="1"/>
    </xf>
    <xf numFmtId="177" fontId="11" fillId="0" borderId="1" xfId="0" applyNumberFormat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vertical="center" wrapText="1"/>
    </xf>
    <xf numFmtId="176" fontId="11" fillId="0" borderId="5" xfId="0" applyNumberFormat="1" applyFont="1" applyFill="1" applyBorder="1" applyAlignment="1">
      <alignment horizontal="center" vertical="center" shrinkToFit="1"/>
    </xf>
    <xf numFmtId="176" fontId="12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vertical="center" wrapText="1"/>
    </xf>
    <xf numFmtId="178" fontId="11" fillId="0" borderId="1" xfId="0" applyNumberFormat="1" applyFont="1" applyFill="1" applyBorder="1" applyAlignment="1">
      <alignment horizontal="center" vertical="center" shrinkToFit="1"/>
    </xf>
    <xf numFmtId="176" fontId="12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vertical="center" shrinkToFit="1"/>
    </xf>
    <xf numFmtId="176" fontId="8" fillId="0" borderId="5" xfId="0" applyNumberFormat="1" applyFont="1" applyFill="1" applyBorder="1" applyAlignment="1">
      <alignment horizontal="center" vertical="center" shrinkToFit="1"/>
    </xf>
    <xf numFmtId="176" fontId="10" fillId="0" borderId="1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>
      <alignment horizontal="left" vertical="top" wrapText="1"/>
    </xf>
    <xf numFmtId="176" fontId="3" fillId="0" borderId="0" xfId="0" applyNumberFormat="1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 wrapText="1"/>
    </xf>
    <xf numFmtId="10" fontId="8" fillId="0" borderId="1" xfId="3" applyNumberFormat="1" applyFont="1" applyFill="1" applyBorder="1" applyAlignment="1">
      <alignment horizontal="center" vertical="center" shrinkToFit="1"/>
    </xf>
    <xf numFmtId="176" fontId="15" fillId="0" borderId="1" xfId="0" applyNumberFormat="1" applyFont="1" applyFill="1" applyBorder="1" applyAlignment="1">
      <alignment horizontal="center" vertical="center" shrinkToFit="1"/>
    </xf>
    <xf numFmtId="10" fontId="11" fillId="0" borderId="1" xfId="3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left" vertical="top"/>
    </xf>
    <xf numFmtId="176" fontId="16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18</xdr:row>
      <xdr:rowOff>0</xdr:rowOff>
    </xdr:from>
    <xdr:to>
      <xdr:col>0</xdr:col>
      <xdr:colOff>20320</xdr:colOff>
      <xdr:row>18</xdr:row>
      <xdr:rowOff>43180</xdr:rowOff>
    </xdr:to>
    <xdr:grpSp>
      <xdr:nvGrpSpPr>
        <xdr:cNvPr id="2" name="Group 2"/>
        <xdr:cNvGrpSpPr/>
      </xdr:nvGrpSpPr>
      <xdr:grpSpPr>
        <a:xfrm>
          <a:off x="0" y="6350000"/>
          <a:ext cx="20320" cy="43180"/>
          <a:chOff x="0" y="0"/>
          <a:chExt cx="20320" cy="43180"/>
        </a:xfrm>
      </xdr:grpSpPr>
      <xdr:pic>
        <xdr:nvPicPr>
          <xdr:cNvPr id="3" name="image1.png"/>
          <xdr:cNvPicPr>
            <a:picLocks noChangeAspect="1"/>
          </xdr:cNvPicPr>
        </xdr:nvPicPr>
        <xdr:blipFill>
          <a:blip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19812" cy="43053"/>
          </a:xfrm>
          <a:prstGeom prst="rect">
            <a:avLst/>
          </a:prstGeom>
        </xdr:spPr>
      </xdr:pic>
      <xdr:pic>
        <xdr:nvPicPr>
          <xdr:cNvPr id="4" name="image1.png"/>
          <xdr:cNvPicPr>
            <a:picLocks noChangeAspect="1"/>
          </xdr:cNvPicPr>
        </xdr:nvPicPr>
        <xdr:blipFill>
          <a:blip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19812" cy="43053"/>
          </a:xfrm>
          <a:prstGeom prst="rect">
            <a:avLst/>
          </a:prstGeom>
        </xdr:spPr>
      </xdr:pic>
      <xdr:pic>
        <xdr:nvPicPr>
          <xdr:cNvPr id="5" name="image1.png"/>
          <xdr:cNvPicPr>
            <a:picLocks noChangeAspect="1"/>
          </xdr:cNvPicPr>
        </xdr:nvPicPr>
        <xdr:blipFill>
          <a:blip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19812" cy="43053"/>
          </a:xfrm>
          <a:prstGeom prst="rect">
            <a:avLst/>
          </a:prstGeom>
        </xdr:spPr>
      </xdr:pic>
      <xdr:pic>
        <xdr:nvPicPr>
          <xdr:cNvPr id="6" name="image1.png"/>
          <xdr:cNvPicPr>
            <a:picLocks noChangeAspect="1"/>
          </xdr:cNvPicPr>
        </xdr:nvPicPr>
        <xdr:blipFill>
          <a:blip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19812" cy="43053"/>
          </a:xfrm>
          <a:prstGeom prst="rect">
            <a:avLst/>
          </a:prstGeom>
        </xdr:spPr>
      </xdr:pic>
      <xdr:pic>
        <xdr:nvPicPr>
          <xdr:cNvPr id="7" name="image1.png"/>
          <xdr:cNvPicPr>
            <a:picLocks noChangeAspect="1"/>
          </xdr:cNvPicPr>
        </xdr:nvPicPr>
        <xdr:blipFill>
          <a:blip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19812" cy="43053"/>
          </a:xfrm>
          <a:prstGeom prst="rect">
            <a:avLst/>
          </a:prstGeom>
        </xdr:spPr>
      </xdr:pic>
      <xdr:pic>
        <xdr:nvPicPr>
          <xdr:cNvPr id="8" name="image1.png"/>
          <xdr:cNvPicPr>
            <a:picLocks noChangeAspect="1"/>
          </xdr:cNvPicPr>
        </xdr:nvPicPr>
        <xdr:blipFill>
          <a:blip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19812" cy="43053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6223</xdr:colOff>
      <xdr:row>17</xdr:row>
      <xdr:rowOff>6096</xdr:rowOff>
    </xdr:from>
    <xdr:to>
      <xdr:col>1</xdr:col>
      <xdr:colOff>26035</xdr:colOff>
      <xdr:row>17</xdr:row>
      <xdr:rowOff>21336</xdr:rowOff>
    </xdr:to>
    <xdr:pic>
      <xdr:nvPicPr>
        <xdr:cNvPr id="9" name="image2.png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740" y="6038215"/>
          <a:ext cx="20320" cy="15240"/>
        </a:xfrm>
        <a:prstGeom prst="rect">
          <a:avLst/>
        </a:prstGeom>
      </xdr:spPr>
    </xdr:pic>
    <xdr:clientData/>
  </xdr:twoCellAnchor>
  <xdr:twoCellAnchor editAs="oneCell">
    <xdr:from>
      <xdr:col>0</xdr:col>
      <xdr:colOff>559308</xdr:colOff>
      <xdr:row>18</xdr:row>
      <xdr:rowOff>6096</xdr:rowOff>
    </xdr:from>
    <xdr:to>
      <xdr:col>1</xdr:col>
      <xdr:colOff>36195</xdr:colOff>
      <xdr:row>19</xdr:row>
      <xdr:rowOff>288035</xdr:rowOff>
    </xdr:to>
    <xdr:grpSp>
      <xdr:nvGrpSpPr>
        <xdr:cNvPr id="10" name="Group 10"/>
        <xdr:cNvGrpSpPr/>
      </xdr:nvGrpSpPr>
      <xdr:grpSpPr>
        <a:xfrm>
          <a:off x="558800" y="6355715"/>
          <a:ext cx="58420" cy="599440"/>
          <a:chOff x="0" y="0"/>
          <a:chExt cx="20320" cy="601980"/>
        </a:xfrm>
      </xdr:grpSpPr>
      <xdr:pic>
        <xdr:nvPicPr>
          <xdr:cNvPr id="11" name="image3.png"/>
          <xdr:cNvPicPr>
            <a:picLocks noChangeAspect="1"/>
          </xdr:cNvPicPr>
        </xdr:nvPicPr>
        <xdr:blipFill>
          <a:blip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19812" cy="521208"/>
          </a:xfrm>
          <a:prstGeom prst="rect">
            <a:avLst/>
          </a:prstGeom>
        </xdr:spPr>
      </xdr:pic>
      <xdr:pic>
        <xdr:nvPicPr>
          <xdr:cNvPr id="12" name="image4.png"/>
          <xdr:cNvPicPr>
            <a:picLocks noChangeAspect="1"/>
          </xdr:cNvPicPr>
        </xdr:nvPicPr>
        <xdr:blipFill>
          <a:blip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251459"/>
            <a:ext cx="19812" cy="350520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323215</xdr:colOff>
      <xdr:row>19</xdr:row>
      <xdr:rowOff>149860</xdr:rowOff>
    </xdr:from>
    <xdr:to>
      <xdr:col>0</xdr:col>
      <xdr:colOff>329057</xdr:colOff>
      <xdr:row>21</xdr:row>
      <xdr:rowOff>217362</xdr:rowOff>
    </xdr:to>
    <xdr:grpSp>
      <xdr:nvGrpSpPr>
        <xdr:cNvPr id="13" name="Group 10"/>
        <xdr:cNvGrpSpPr/>
      </xdr:nvGrpSpPr>
      <xdr:grpSpPr>
        <a:xfrm>
          <a:off x="323215" y="6817360"/>
          <a:ext cx="5715" cy="702310"/>
          <a:chOff x="0" y="0"/>
          <a:chExt cx="20320" cy="601980"/>
        </a:xfrm>
      </xdr:grpSpPr>
      <xdr:pic>
        <xdr:nvPicPr>
          <xdr:cNvPr id="14" name="image3.png"/>
          <xdr:cNvPicPr>
            <a:picLocks noChangeAspect="1"/>
          </xdr:cNvPicPr>
        </xdr:nvPicPr>
        <xdr:blipFill>
          <a:blip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19812" cy="521208"/>
          </a:xfrm>
          <a:prstGeom prst="rect">
            <a:avLst/>
          </a:prstGeom>
        </xdr:spPr>
      </xdr:pic>
      <xdr:pic>
        <xdr:nvPicPr>
          <xdr:cNvPr id="15" name="image4.png"/>
          <xdr:cNvPicPr>
            <a:picLocks noChangeAspect="1"/>
          </xdr:cNvPicPr>
        </xdr:nvPicPr>
        <xdr:blipFill>
          <a:blip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251459"/>
            <a:ext cx="19812" cy="35052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abSelected="1" view="pageBreakPreview" zoomScaleNormal="100" workbookViewId="0">
      <pane ySplit="3" topLeftCell="A5" activePane="bottomLeft" state="frozen"/>
      <selection/>
      <selection pane="bottomLeft" activeCell="G7" sqref="G7"/>
    </sheetView>
  </sheetViews>
  <sheetFormatPr defaultColWidth="9" defaultRowHeight="12.75"/>
  <cols>
    <col min="1" max="1" width="10.1666666666667" style="20" customWidth="1"/>
    <col min="2" max="2" width="25.8888888888889" style="21" customWidth="1"/>
    <col min="3" max="3" width="12.6666666666667" style="22" customWidth="1"/>
    <col min="4" max="4" width="9.16666666666667" style="22" customWidth="1"/>
    <col min="5" max="5" width="11" style="22" customWidth="1"/>
    <col min="6" max="6" width="11.1666666666667" style="22" customWidth="1"/>
    <col min="7" max="7" width="6.66666666666667" style="22" customWidth="1"/>
    <col min="8" max="8" width="10.3333333333333" style="22" customWidth="1"/>
    <col min="9" max="9" width="13.5" style="22" customWidth="1"/>
    <col min="10" max="10" width="13.3333333333333" style="22" customWidth="1"/>
    <col min="11" max="11" width="16" style="16" customWidth="1"/>
    <col min="12" max="15" width="9" style="16"/>
    <col min="16" max="16" width="14.3333333333333" style="16"/>
    <col min="17" max="17" width="9" style="16"/>
    <col min="18" max="18" width="10.1666666666667" style="16"/>
    <col min="19" max="16384" width="9" style="16"/>
  </cols>
  <sheetData>
    <row r="1" ht="63" customHeight="1" spans="1:10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s="16" customFormat="1" ht="22" customHeight="1" spans="1:11">
      <c r="A2" s="25" t="s">
        <v>1</v>
      </c>
      <c r="B2" s="25" t="s">
        <v>2</v>
      </c>
      <c r="C2" s="25" t="s">
        <v>3</v>
      </c>
      <c r="D2" s="25"/>
      <c r="E2" s="25"/>
      <c r="F2" s="25"/>
      <c r="G2" s="26"/>
      <c r="H2" s="26"/>
      <c r="I2" s="50"/>
      <c r="J2" s="25" t="s">
        <v>4</v>
      </c>
      <c r="K2" s="51" t="s">
        <v>5</v>
      </c>
    </row>
    <row r="3" s="16" customFormat="1" ht="40" customHeight="1" spans="1:11">
      <c r="A3" s="27"/>
      <c r="B3" s="27"/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52"/>
      <c r="K3" s="51"/>
    </row>
    <row r="4" s="17" customFormat="1" ht="25" customHeight="1" spans="1:11">
      <c r="A4" s="25" t="s">
        <v>13</v>
      </c>
      <c r="B4" s="28" t="s">
        <v>14</v>
      </c>
      <c r="C4" s="29">
        <f>C5+C9+C13</f>
        <v>4613.72</v>
      </c>
      <c r="D4" s="29"/>
      <c r="E4" s="29"/>
      <c r="F4" s="29">
        <f>F5+F9+F13</f>
        <v>4613.72</v>
      </c>
      <c r="G4" s="27" t="s">
        <v>15</v>
      </c>
      <c r="H4" s="29">
        <v>12715</v>
      </c>
      <c r="I4" s="29">
        <f>F4/H4*10000</f>
        <v>3628.56</v>
      </c>
      <c r="J4" s="53">
        <f>F4/F47</f>
        <v>0.8304</v>
      </c>
      <c r="K4" s="54"/>
    </row>
    <row r="5" s="17" customFormat="1" ht="25" customHeight="1" spans="1:11">
      <c r="A5" s="30" t="s">
        <v>16</v>
      </c>
      <c r="B5" s="31" t="s">
        <v>17</v>
      </c>
      <c r="C5" s="32">
        <f>C6+C7+C8</f>
        <v>890.78</v>
      </c>
      <c r="D5" s="32"/>
      <c r="E5" s="32"/>
      <c r="F5" s="32">
        <f>C5</f>
        <v>890.78</v>
      </c>
      <c r="G5" s="33"/>
      <c r="H5" s="32"/>
      <c r="I5" s="29"/>
      <c r="J5" s="55">
        <f>F5/F47</f>
        <v>0.1603</v>
      </c>
      <c r="K5" s="56"/>
    </row>
    <row r="6" s="17" customFormat="1" ht="25" customHeight="1" spans="1:11">
      <c r="A6" s="34">
        <v>1</v>
      </c>
      <c r="B6" s="31" t="s">
        <v>18</v>
      </c>
      <c r="C6" s="32">
        <v>269.48</v>
      </c>
      <c r="D6" s="32"/>
      <c r="E6" s="32"/>
      <c r="F6" s="32">
        <f t="shared" ref="F6:F17" si="0">C6</f>
        <v>269.48</v>
      </c>
      <c r="G6" s="33"/>
      <c r="H6" s="32"/>
      <c r="I6" s="29"/>
      <c r="J6" s="55">
        <f>F6/F47</f>
        <v>0.0485</v>
      </c>
      <c r="K6" s="56"/>
    </row>
    <row r="7" s="17" customFormat="1" ht="25" customHeight="1" spans="1:11">
      <c r="A7" s="34">
        <v>2</v>
      </c>
      <c r="B7" s="31" t="s">
        <v>19</v>
      </c>
      <c r="C7" s="32">
        <v>544.69</v>
      </c>
      <c r="D7" s="32"/>
      <c r="E7" s="32"/>
      <c r="F7" s="32">
        <f t="shared" si="0"/>
        <v>544.69</v>
      </c>
      <c r="G7" s="33"/>
      <c r="H7" s="32"/>
      <c r="I7" s="29"/>
      <c r="J7" s="55">
        <f>F7/F47</f>
        <v>0.098</v>
      </c>
      <c r="K7" s="56"/>
    </row>
    <row r="8" s="17" customFormat="1" ht="25" customHeight="1" spans="1:11">
      <c r="A8" s="34">
        <v>3</v>
      </c>
      <c r="B8" s="31" t="s">
        <v>20</v>
      </c>
      <c r="C8" s="32">
        <v>76.61</v>
      </c>
      <c r="D8" s="32"/>
      <c r="E8" s="32"/>
      <c r="F8" s="32">
        <f t="shared" si="0"/>
        <v>76.61</v>
      </c>
      <c r="G8" s="33"/>
      <c r="H8" s="32"/>
      <c r="I8" s="29"/>
      <c r="J8" s="55">
        <f>F8/F47</f>
        <v>0.0138</v>
      </c>
      <c r="K8" s="56"/>
    </row>
    <row r="9" s="17" customFormat="1" ht="25" customHeight="1" spans="1:11">
      <c r="A9" s="34" t="s">
        <v>21</v>
      </c>
      <c r="B9" s="31" t="s">
        <v>22</v>
      </c>
      <c r="C9" s="32">
        <f>C10+C11+C12</f>
        <v>1059.64</v>
      </c>
      <c r="D9" s="32"/>
      <c r="E9" s="32"/>
      <c r="F9" s="32">
        <f t="shared" si="0"/>
        <v>1059.64</v>
      </c>
      <c r="G9" s="33"/>
      <c r="H9" s="32"/>
      <c r="I9" s="29"/>
      <c r="J9" s="55">
        <f>F9/F47</f>
        <v>0.1907</v>
      </c>
      <c r="K9" s="56"/>
    </row>
    <row r="10" s="17" customFormat="1" ht="25" customHeight="1" spans="1:11">
      <c r="A10" s="34">
        <v>1</v>
      </c>
      <c r="B10" s="31" t="s">
        <v>18</v>
      </c>
      <c r="C10" s="32">
        <v>439.19</v>
      </c>
      <c r="D10" s="32"/>
      <c r="E10" s="32"/>
      <c r="F10" s="32">
        <f t="shared" si="0"/>
        <v>439.19</v>
      </c>
      <c r="G10" s="33"/>
      <c r="H10" s="32"/>
      <c r="I10" s="29"/>
      <c r="J10" s="55">
        <f>F10/F47</f>
        <v>0.079</v>
      </c>
      <c r="K10" s="56"/>
    </row>
    <row r="11" s="17" customFormat="1" ht="25" customHeight="1" spans="1:11">
      <c r="A11" s="34">
        <v>2</v>
      </c>
      <c r="B11" s="31" t="s">
        <v>19</v>
      </c>
      <c r="C11" s="32">
        <v>555.74</v>
      </c>
      <c r="D11" s="32"/>
      <c r="E11" s="32"/>
      <c r="F11" s="32">
        <f t="shared" si="0"/>
        <v>555.74</v>
      </c>
      <c r="G11" s="33"/>
      <c r="H11" s="32"/>
      <c r="I11" s="29"/>
      <c r="J11" s="55">
        <f>F11/F47</f>
        <v>0.1</v>
      </c>
      <c r="K11" s="56"/>
    </row>
    <row r="12" s="17" customFormat="1" ht="25" customHeight="1" spans="1:11">
      <c r="A12" s="34">
        <v>3</v>
      </c>
      <c r="B12" s="31" t="s">
        <v>20</v>
      </c>
      <c r="C12" s="32">
        <v>64.71</v>
      </c>
      <c r="D12" s="32"/>
      <c r="E12" s="32"/>
      <c r="F12" s="32">
        <f t="shared" si="0"/>
        <v>64.71</v>
      </c>
      <c r="G12" s="33"/>
      <c r="H12" s="32"/>
      <c r="I12" s="29"/>
      <c r="J12" s="55">
        <f>F12/F47</f>
        <v>0.0116</v>
      </c>
      <c r="K12" s="56"/>
    </row>
    <row r="13" s="17" customFormat="1" ht="25" customHeight="1" spans="1:11">
      <c r="A13" s="34" t="s">
        <v>23</v>
      </c>
      <c r="B13" s="31" t="s">
        <v>24</v>
      </c>
      <c r="C13" s="32">
        <f>C14+C15+C16+C17</f>
        <v>2663.3</v>
      </c>
      <c r="D13" s="32"/>
      <c r="E13" s="32"/>
      <c r="F13" s="32">
        <f t="shared" si="0"/>
        <v>2663.3</v>
      </c>
      <c r="G13" s="33"/>
      <c r="H13" s="32"/>
      <c r="I13" s="29"/>
      <c r="J13" s="55">
        <f>F13/F47</f>
        <v>0.4793</v>
      </c>
      <c r="K13" s="56"/>
    </row>
    <row r="14" s="17" customFormat="1" ht="25" customHeight="1" spans="1:11">
      <c r="A14" s="34">
        <v>1</v>
      </c>
      <c r="B14" s="31" t="s">
        <v>18</v>
      </c>
      <c r="C14" s="32">
        <v>927.39</v>
      </c>
      <c r="D14" s="32"/>
      <c r="E14" s="32"/>
      <c r="F14" s="32">
        <f t="shared" si="0"/>
        <v>927.39</v>
      </c>
      <c r="G14" s="33"/>
      <c r="H14" s="32"/>
      <c r="I14" s="29"/>
      <c r="J14" s="55">
        <f>F14/F47</f>
        <v>0.1669</v>
      </c>
      <c r="K14" s="56"/>
    </row>
    <row r="15" s="17" customFormat="1" ht="25" customHeight="1" spans="1:11">
      <c r="A15" s="34">
        <v>2</v>
      </c>
      <c r="B15" s="31" t="s">
        <v>19</v>
      </c>
      <c r="C15" s="32">
        <v>1450.94</v>
      </c>
      <c r="D15" s="32"/>
      <c r="E15" s="32"/>
      <c r="F15" s="32">
        <f t="shared" si="0"/>
        <v>1450.94</v>
      </c>
      <c r="G15" s="33"/>
      <c r="H15" s="32"/>
      <c r="I15" s="29"/>
      <c r="J15" s="55">
        <f>F15/F47</f>
        <v>0.2611</v>
      </c>
      <c r="K15" s="56"/>
    </row>
    <row r="16" s="17" customFormat="1" ht="25" customHeight="1" spans="1:11">
      <c r="A16" s="34">
        <v>3</v>
      </c>
      <c r="B16" s="31" t="s">
        <v>20</v>
      </c>
      <c r="C16" s="32">
        <v>93.97</v>
      </c>
      <c r="D16" s="32"/>
      <c r="E16" s="32"/>
      <c r="F16" s="32">
        <f t="shared" si="0"/>
        <v>93.97</v>
      </c>
      <c r="G16" s="33"/>
      <c r="H16" s="32"/>
      <c r="I16" s="29"/>
      <c r="J16" s="55">
        <f>F16/F47</f>
        <v>0.0169</v>
      </c>
      <c r="K16" s="56"/>
    </row>
    <row r="17" s="17" customFormat="1" ht="25" customHeight="1" spans="1:11">
      <c r="A17" s="34">
        <v>4</v>
      </c>
      <c r="B17" s="31" t="s">
        <v>25</v>
      </c>
      <c r="C17" s="32">
        <v>191</v>
      </c>
      <c r="D17" s="32"/>
      <c r="E17" s="32"/>
      <c r="F17" s="32">
        <f t="shared" si="0"/>
        <v>191</v>
      </c>
      <c r="G17" s="33"/>
      <c r="H17" s="32"/>
      <c r="I17" s="29"/>
      <c r="J17" s="55">
        <f>F17/F47</f>
        <v>0.0344</v>
      </c>
      <c r="K17" s="56"/>
    </row>
    <row r="18" s="17" customFormat="1" ht="25" customHeight="1" spans="1:11">
      <c r="A18" s="25" t="s">
        <v>26</v>
      </c>
      <c r="B18" s="28" t="s">
        <v>27</v>
      </c>
      <c r="C18" s="29"/>
      <c r="D18" s="29"/>
      <c r="E18" s="29">
        <f>E19+E20</f>
        <v>780.69</v>
      </c>
      <c r="F18" s="29">
        <f t="shared" ref="F18:F32" si="1">E18</f>
        <v>780.69</v>
      </c>
      <c r="G18" s="35"/>
      <c r="H18" s="35"/>
      <c r="I18" s="29"/>
      <c r="J18" s="53">
        <f>F18/F47</f>
        <v>0.1405</v>
      </c>
      <c r="K18" s="56"/>
    </row>
    <row r="19" s="17" customFormat="1" ht="25" customHeight="1" spans="1:11">
      <c r="A19" s="33" t="s">
        <v>28</v>
      </c>
      <c r="B19" s="31" t="s">
        <v>29</v>
      </c>
      <c r="C19" s="29"/>
      <c r="D19" s="29"/>
      <c r="E19" s="32">
        <v>0</v>
      </c>
      <c r="F19" s="32">
        <f t="shared" si="1"/>
        <v>0</v>
      </c>
      <c r="G19" s="35"/>
      <c r="H19" s="35"/>
      <c r="I19" s="35"/>
      <c r="J19" s="55">
        <f>F19/F47</f>
        <v>0</v>
      </c>
      <c r="K19" s="56"/>
    </row>
    <row r="20" s="17" customFormat="1" ht="25" customHeight="1" spans="1:11">
      <c r="A20" s="33" t="s">
        <v>30</v>
      </c>
      <c r="B20" s="31" t="s">
        <v>31</v>
      </c>
      <c r="C20" s="29"/>
      <c r="D20" s="29"/>
      <c r="E20" s="32">
        <f>SUM(E21:E26,E33:E35,E39:E42)</f>
        <v>780.69</v>
      </c>
      <c r="F20" s="32">
        <f t="shared" si="1"/>
        <v>780.69</v>
      </c>
      <c r="G20" s="36"/>
      <c r="H20" s="36"/>
      <c r="I20" s="36"/>
      <c r="J20" s="55">
        <f>F20/F47</f>
        <v>0.1405</v>
      </c>
      <c r="K20" s="56"/>
    </row>
    <row r="21" s="18" customFormat="1" ht="25" customHeight="1" spans="1:11">
      <c r="A21" s="37">
        <v>1</v>
      </c>
      <c r="B21" s="31" t="s">
        <v>32</v>
      </c>
      <c r="C21" s="32"/>
      <c r="D21" s="32"/>
      <c r="E21" s="38">
        <f>F4*0.5%</f>
        <v>23.07</v>
      </c>
      <c r="F21" s="32">
        <f t="shared" si="1"/>
        <v>23.07</v>
      </c>
      <c r="G21" s="39"/>
      <c r="H21" s="39"/>
      <c r="I21" s="39"/>
      <c r="J21" s="55">
        <f>F21/F47</f>
        <v>0.0042</v>
      </c>
      <c r="K21" s="57" t="s">
        <v>33</v>
      </c>
    </row>
    <row r="22" s="18" customFormat="1" ht="25" customHeight="1" spans="1:11">
      <c r="A22" s="37">
        <v>2</v>
      </c>
      <c r="B22" s="31" t="s">
        <v>34</v>
      </c>
      <c r="C22" s="32"/>
      <c r="D22" s="32"/>
      <c r="E22" s="32">
        <f>80+(8206-2556.07-5000)*1.2%</f>
        <v>87.8</v>
      </c>
      <c r="F22" s="32">
        <f t="shared" si="1"/>
        <v>87.8</v>
      </c>
      <c r="G22" s="39"/>
      <c r="H22" s="39"/>
      <c r="I22" s="39"/>
      <c r="J22" s="55">
        <f>F22/F47</f>
        <v>0.0158</v>
      </c>
      <c r="K22" s="57" t="s">
        <v>33</v>
      </c>
    </row>
    <row r="23" s="18" customFormat="1" ht="25" customHeight="1" spans="1:11">
      <c r="A23" s="37">
        <v>3</v>
      </c>
      <c r="B23" s="31" t="s">
        <v>35</v>
      </c>
      <c r="C23" s="40"/>
      <c r="D23" s="40"/>
      <c r="E23" s="38">
        <f>(55+(78.1-55)/2000*(F4-3000))*0.95</f>
        <v>69.96</v>
      </c>
      <c r="F23" s="32">
        <f t="shared" si="1"/>
        <v>69.96</v>
      </c>
      <c r="G23" s="39"/>
      <c r="H23" s="39"/>
      <c r="I23" s="39"/>
      <c r="J23" s="55">
        <f>F23/F47</f>
        <v>0.0126</v>
      </c>
      <c r="K23" s="57" t="s">
        <v>33</v>
      </c>
    </row>
    <row r="24" s="18" customFormat="1" ht="25" customHeight="1" spans="1:11">
      <c r="A24" s="37">
        <v>4</v>
      </c>
      <c r="B24" s="31" t="s">
        <v>36</v>
      </c>
      <c r="C24" s="40"/>
      <c r="D24" s="40"/>
      <c r="E24" s="41">
        <f>(100*0.85%+400*0.595%+500*0.4625%+(F4-1000)*0.2975%)*0.7</f>
        <v>11.41</v>
      </c>
      <c r="F24" s="32">
        <f t="shared" si="1"/>
        <v>11.41</v>
      </c>
      <c r="G24" s="42"/>
      <c r="H24" s="42"/>
      <c r="I24" s="42"/>
      <c r="J24" s="55">
        <f>F24/F47</f>
        <v>0.0021</v>
      </c>
      <c r="K24" s="57" t="s">
        <v>33</v>
      </c>
    </row>
    <row r="25" s="18" customFormat="1" ht="25" customHeight="1" spans="1:11">
      <c r="A25" s="37">
        <v>5</v>
      </c>
      <c r="B25" s="31" t="s">
        <v>37</v>
      </c>
      <c r="C25" s="40"/>
      <c r="D25" s="40"/>
      <c r="E25" s="38">
        <f>F4*0.17%*0.3</f>
        <v>2.35</v>
      </c>
      <c r="F25" s="32">
        <f t="shared" si="1"/>
        <v>2.35</v>
      </c>
      <c r="G25" s="39"/>
      <c r="H25" s="39"/>
      <c r="I25" s="39"/>
      <c r="J25" s="55">
        <f>F25/F47</f>
        <v>0.0004</v>
      </c>
      <c r="K25" s="57" t="s">
        <v>33</v>
      </c>
    </row>
    <row r="26" s="18" customFormat="1" ht="25" customHeight="1" spans="1:11">
      <c r="A26" s="37">
        <v>6</v>
      </c>
      <c r="B26" s="31" t="s">
        <v>38</v>
      </c>
      <c r="C26" s="40"/>
      <c r="D26" s="40"/>
      <c r="E26" s="40">
        <f>SUM(E27:E32)</f>
        <v>98.81</v>
      </c>
      <c r="F26" s="32">
        <f t="shared" si="1"/>
        <v>98.81</v>
      </c>
      <c r="G26" s="39"/>
      <c r="H26" s="39"/>
      <c r="I26" s="39"/>
      <c r="J26" s="55">
        <f>F26/F47</f>
        <v>0.0178</v>
      </c>
      <c r="K26" s="57" t="s">
        <v>33</v>
      </c>
    </row>
    <row r="27" s="18" customFormat="1" ht="33" customHeight="1" spans="1:11">
      <c r="A27" s="43">
        <v>6.1</v>
      </c>
      <c r="B27" s="31" t="s">
        <v>39</v>
      </c>
      <c r="C27" s="40"/>
      <c r="D27" s="40"/>
      <c r="E27" s="38">
        <v>10</v>
      </c>
      <c r="F27" s="32">
        <f t="shared" si="1"/>
        <v>10</v>
      </c>
      <c r="G27" s="42"/>
      <c r="H27" s="42"/>
      <c r="I27" s="42"/>
      <c r="J27" s="55">
        <f>F27/F47</f>
        <v>0.0018</v>
      </c>
      <c r="K27" s="58" t="s">
        <v>40</v>
      </c>
    </row>
    <row r="28" s="18" customFormat="1" ht="25" customHeight="1" spans="1:11">
      <c r="A28" s="43">
        <v>6.2</v>
      </c>
      <c r="B28" s="31" t="s">
        <v>41</v>
      </c>
      <c r="C28" s="40"/>
      <c r="D28" s="40"/>
      <c r="E28" s="38">
        <f>3.5+0.35</f>
        <v>3.85</v>
      </c>
      <c r="F28" s="32">
        <f t="shared" si="1"/>
        <v>3.85</v>
      </c>
      <c r="G28" s="39"/>
      <c r="H28" s="39"/>
      <c r="I28" s="39"/>
      <c r="J28" s="55">
        <f>F28/F47</f>
        <v>0.0007</v>
      </c>
      <c r="K28" s="57" t="s">
        <v>33</v>
      </c>
    </row>
    <row r="29" s="18" customFormat="1" ht="25" customHeight="1" spans="1:11">
      <c r="A29" s="43">
        <v>6.3</v>
      </c>
      <c r="B29" s="31" t="s">
        <v>42</v>
      </c>
      <c r="C29" s="40"/>
      <c r="D29" s="40"/>
      <c r="E29" s="38">
        <v>7.63</v>
      </c>
      <c r="F29" s="32">
        <f t="shared" si="1"/>
        <v>7.63</v>
      </c>
      <c r="G29" s="39"/>
      <c r="H29" s="39"/>
      <c r="I29" s="39"/>
      <c r="J29" s="55">
        <f>F29/F47</f>
        <v>0.0014</v>
      </c>
      <c r="K29" s="57" t="s">
        <v>33</v>
      </c>
    </row>
    <row r="30" s="18" customFormat="1" ht="25" customHeight="1" spans="1:11">
      <c r="A30" s="43">
        <v>6.4</v>
      </c>
      <c r="B30" s="31" t="s">
        <v>43</v>
      </c>
      <c r="C30" s="40"/>
      <c r="D30" s="40"/>
      <c r="E30" s="38">
        <f>10*0.3</f>
        <v>3</v>
      </c>
      <c r="F30" s="32">
        <f t="shared" si="1"/>
        <v>3</v>
      </c>
      <c r="G30" s="39"/>
      <c r="H30" s="39"/>
      <c r="I30" s="39"/>
      <c r="J30" s="55">
        <f>F30/F47</f>
        <v>0.0005</v>
      </c>
      <c r="K30" s="57" t="s">
        <v>33</v>
      </c>
    </row>
    <row r="31" s="18" customFormat="1" ht="33" customHeight="1" spans="1:11">
      <c r="A31" s="43">
        <v>6.5</v>
      </c>
      <c r="B31" s="31" t="s">
        <v>44</v>
      </c>
      <c r="C31" s="40"/>
      <c r="D31" s="40"/>
      <c r="E31" s="41">
        <f>80-23.2</f>
        <v>56.8</v>
      </c>
      <c r="F31" s="32">
        <f t="shared" si="1"/>
        <v>56.8</v>
      </c>
      <c r="G31" s="42"/>
      <c r="H31" s="42"/>
      <c r="I31" s="42"/>
      <c r="J31" s="55">
        <f>F31/F47</f>
        <v>0.0102</v>
      </c>
      <c r="K31" s="58" t="s">
        <v>45</v>
      </c>
    </row>
    <row r="32" s="18" customFormat="1" ht="31" customHeight="1" spans="1:11">
      <c r="A32" s="43">
        <v>6.6</v>
      </c>
      <c r="B32" s="31" t="s">
        <v>46</v>
      </c>
      <c r="C32" s="40"/>
      <c r="D32" s="40"/>
      <c r="E32" s="41">
        <f>1.379*12.715</f>
        <v>17.53</v>
      </c>
      <c r="F32" s="32">
        <f t="shared" si="1"/>
        <v>17.53</v>
      </c>
      <c r="G32" s="42"/>
      <c r="H32" s="42"/>
      <c r="I32" s="42"/>
      <c r="J32" s="55">
        <f>F32/F47</f>
        <v>0.0032</v>
      </c>
      <c r="K32" s="58" t="s">
        <v>40</v>
      </c>
    </row>
    <row r="33" s="18" customFormat="1" ht="33" customHeight="1" spans="1:11">
      <c r="A33" s="37">
        <v>7</v>
      </c>
      <c r="B33" s="31" t="s">
        <v>47</v>
      </c>
      <c r="C33" s="40"/>
      <c r="D33" s="40"/>
      <c r="E33" s="41">
        <f>68.98-20</f>
        <v>48.98</v>
      </c>
      <c r="F33" s="32">
        <f t="shared" ref="F33:F47" si="2">E33</f>
        <v>48.98</v>
      </c>
      <c r="G33" s="42"/>
      <c r="H33" s="42"/>
      <c r="I33" s="42"/>
      <c r="J33" s="55">
        <f>F33/F47</f>
        <v>0.0088</v>
      </c>
      <c r="K33" s="58" t="s">
        <v>45</v>
      </c>
    </row>
    <row r="34" s="18" customFormat="1" ht="25" customHeight="1" spans="1:11">
      <c r="A34" s="37">
        <v>8</v>
      </c>
      <c r="B34" s="31" t="s">
        <v>48</v>
      </c>
      <c r="C34" s="40"/>
      <c r="D34" s="40"/>
      <c r="E34" s="38">
        <f>F4*3.25%*0.8</f>
        <v>119.96</v>
      </c>
      <c r="F34" s="32">
        <f t="shared" si="2"/>
        <v>119.96</v>
      </c>
      <c r="G34" s="39"/>
      <c r="H34" s="39"/>
      <c r="I34" s="39"/>
      <c r="J34" s="55">
        <f>F34/F47</f>
        <v>0.0216</v>
      </c>
      <c r="K34" s="57" t="s">
        <v>33</v>
      </c>
    </row>
    <row r="35" s="18" customFormat="1" ht="25" customHeight="1" spans="1:11">
      <c r="A35" s="37">
        <v>9</v>
      </c>
      <c r="B35" s="31" t="s">
        <v>49</v>
      </c>
      <c r="C35" s="40"/>
      <c r="D35" s="40"/>
      <c r="E35" s="40">
        <f>SUM(E36:E38)</f>
        <v>50.51</v>
      </c>
      <c r="F35" s="32">
        <f t="shared" si="2"/>
        <v>50.51</v>
      </c>
      <c r="G35" s="39"/>
      <c r="H35" s="39"/>
      <c r="I35" s="39"/>
      <c r="J35" s="55">
        <f>F35/F47</f>
        <v>0.0091</v>
      </c>
      <c r="K35" s="57" t="s">
        <v>33</v>
      </c>
    </row>
    <row r="36" s="18" customFormat="1" ht="25" customHeight="1" spans="1:11">
      <c r="A36" s="43">
        <v>9.1</v>
      </c>
      <c r="B36" s="31" t="s">
        <v>50</v>
      </c>
      <c r="C36" s="40"/>
      <c r="D36" s="40"/>
      <c r="E36" s="38">
        <f>E34*0.1*0.6</f>
        <v>7.2</v>
      </c>
      <c r="F36" s="32">
        <f t="shared" si="2"/>
        <v>7.2</v>
      </c>
      <c r="G36" s="42"/>
      <c r="H36" s="42"/>
      <c r="I36" s="42"/>
      <c r="J36" s="55">
        <f>F36/F47</f>
        <v>0.0013</v>
      </c>
      <c r="K36" s="57" t="s">
        <v>33</v>
      </c>
    </row>
    <row r="37" s="18" customFormat="1" ht="25" customHeight="1" spans="1:11">
      <c r="A37" s="43">
        <v>9.2</v>
      </c>
      <c r="B37" s="31" t="s">
        <v>51</v>
      </c>
      <c r="C37" s="40"/>
      <c r="D37" s="40"/>
      <c r="E37" s="44">
        <f>((500*0.35%+500*0.32%+(F4-1000)*0.24%))*2*0.6</f>
        <v>14.43</v>
      </c>
      <c r="F37" s="32">
        <f t="shared" si="2"/>
        <v>14.43</v>
      </c>
      <c r="G37" s="42"/>
      <c r="H37" s="42"/>
      <c r="I37" s="42"/>
      <c r="J37" s="55">
        <f>F37/F47</f>
        <v>0.0026</v>
      </c>
      <c r="K37" s="57" t="s">
        <v>33</v>
      </c>
    </row>
    <row r="38" s="18" customFormat="1" ht="25" customHeight="1" spans="1:11">
      <c r="A38" s="43">
        <v>9.3</v>
      </c>
      <c r="B38" s="31" t="s">
        <v>52</v>
      </c>
      <c r="C38" s="40"/>
      <c r="D38" s="40"/>
      <c r="E38" s="44">
        <f>((500*1.3%+500*1.1%+(F4-1000)*1%))*0.6</f>
        <v>28.88</v>
      </c>
      <c r="F38" s="32">
        <f t="shared" si="2"/>
        <v>28.88</v>
      </c>
      <c r="G38" s="45"/>
      <c r="H38" s="45"/>
      <c r="I38" s="45"/>
      <c r="J38" s="55">
        <f>F38/F47</f>
        <v>0.0052</v>
      </c>
      <c r="K38" s="58" t="s">
        <v>53</v>
      </c>
    </row>
    <row r="39" s="18" customFormat="1" ht="25" customHeight="1" spans="1:11">
      <c r="A39" s="37">
        <v>10</v>
      </c>
      <c r="B39" s="31" t="s">
        <v>54</v>
      </c>
      <c r="C39" s="40"/>
      <c r="D39" s="40"/>
      <c r="E39" s="38">
        <f>F4*0.3%</f>
        <v>13.84</v>
      </c>
      <c r="F39" s="32">
        <f t="shared" si="2"/>
        <v>13.84</v>
      </c>
      <c r="G39" s="39"/>
      <c r="H39" s="39"/>
      <c r="I39" s="39"/>
      <c r="J39" s="55">
        <f>F39/F47</f>
        <v>0.0025</v>
      </c>
      <c r="K39" s="57" t="s">
        <v>33</v>
      </c>
    </row>
    <row r="40" s="18" customFormat="1" ht="25" customHeight="1" spans="1:11">
      <c r="A40" s="37">
        <v>11</v>
      </c>
      <c r="B40" s="31" t="s">
        <v>55</v>
      </c>
      <c r="C40" s="40"/>
      <c r="D40" s="40"/>
      <c r="E40" s="38">
        <f>(F4)*0.5%</f>
        <v>23.07</v>
      </c>
      <c r="F40" s="32">
        <f t="shared" si="2"/>
        <v>23.07</v>
      </c>
      <c r="G40" s="39"/>
      <c r="H40" s="39"/>
      <c r="I40" s="39"/>
      <c r="J40" s="55">
        <f>F40/F47</f>
        <v>0.0042</v>
      </c>
      <c r="K40" s="57" t="s">
        <v>33</v>
      </c>
    </row>
    <row r="41" s="18" customFormat="1" ht="25" customHeight="1" spans="1:11">
      <c r="A41" s="37">
        <v>12</v>
      </c>
      <c r="B41" s="31" t="s">
        <v>56</v>
      </c>
      <c r="C41" s="40"/>
      <c r="D41" s="40"/>
      <c r="E41" s="32">
        <f>44460*0.5/10000</f>
        <v>2.22</v>
      </c>
      <c r="F41" s="32">
        <f t="shared" si="2"/>
        <v>2.22</v>
      </c>
      <c r="G41" s="39"/>
      <c r="H41" s="39"/>
      <c r="I41" s="39"/>
      <c r="J41" s="55">
        <f>F41/F47</f>
        <v>0.0004</v>
      </c>
      <c r="K41" s="58" t="s">
        <v>57</v>
      </c>
    </row>
    <row r="42" s="18" customFormat="1" ht="25" customHeight="1" spans="1:11">
      <c r="A42" s="37">
        <v>13</v>
      </c>
      <c r="B42" s="31" t="s">
        <v>58</v>
      </c>
      <c r="C42" s="40"/>
      <c r="D42" s="40"/>
      <c r="E42" s="32">
        <f>30679*355/10000*0.21</f>
        <v>228.71</v>
      </c>
      <c r="F42" s="32">
        <f t="shared" si="2"/>
        <v>228.71</v>
      </c>
      <c r="G42" s="42"/>
      <c r="H42" s="42"/>
      <c r="I42" s="42"/>
      <c r="J42" s="55">
        <f>F42/F47</f>
        <v>0.0412</v>
      </c>
      <c r="K42" s="58" t="s">
        <v>59</v>
      </c>
    </row>
    <row r="43" s="17" customFormat="1" ht="25" customHeight="1" spans="1:11">
      <c r="A43" s="25" t="s">
        <v>60</v>
      </c>
      <c r="B43" s="28" t="s">
        <v>61</v>
      </c>
      <c r="C43" s="46"/>
      <c r="D43" s="46"/>
      <c r="E43" s="46">
        <f>E44</f>
        <v>161.83</v>
      </c>
      <c r="F43" s="29">
        <f t="shared" si="2"/>
        <v>161.83</v>
      </c>
      <c r="G43" s="35"/>
      <c r="H43" s="35"/>
      <c r="I43" s="35"/>
      <c r="J43" s="53">
        <f>F43/F47</f>
        <v>0.0291</v>
      </c>
      <c r="K43" s="59"/>
    </row>
    <row r="44" s="18" customFormat="1" ht="25" customHeight="1" spans="1:11">
      <c r="A44" s="47" t="s">
        <v>28</v>
      </c>
      <c r="B44" s="31" t="s">
        <v>62</v>
      </c>
      <c r="C44" s="40"/>
      <c r="D44" s="40"/>
      <c r="E44" s="38">
        <f>(F4+F18)*3%</f>
        <v>161.83</v>
      </c>
      <c r="F44" s="32">
        <f t="shared" si="2"/>
        <v>161.83</v>
      </c>
      <c r="G44" s="39"/>
      <c r="H44" s="39"/>
      <c r="I44" s="39"/>
      <c r="J44" s="55">
        <f>F44/F47</f>
        <v>0.0291</v>
      </c>
      <c r="K44" s="57" t="s">
        <v>63</v>
      </c>
    </row>
    <row r="45" s="19" customFormat="1" ht="25" customHeight="1" spans="1:11">
      <c r="A45" s="29"/>
      <c r="B45" s="28" t="s">
        <v>64</v>
      </c>
      <c r="C45" s="46"/>
      <c r="D45" s="46"/>
      <c r="E45" s="40">
        <f>F4+E18+E43</f>
        <v>5556.24</v>
      </c>
      <c r="F45" s="32">
        <f t="shared" si="2"/>
        <v>5556.24</v>
      </c>
      <c r="G45" s="35"/>
      <c r="H45" s="35"/>
      <c r="I45" s="35"/>
      <c r="J45" s="55">
        <f>F45/F47</f>
        <v>1</v>
      </c>
      <c r="K45" s="59"/>
    </row>
    <row r="46" s="17" customFormat="1" ht="25" customHeight="1" spans="1:11">
      <c r="A46" s="25" t="s">
        <v>65</v>
      </c>
      <c r="B46" s="28" t="s">
        <v>66</v>
      </c>
      <c r="C46" s="46"/>
      <c r="D46" s="46"/>
      <c r="E46" s="46">
        <v>0</v>
      </c>
      <c r="F46" s="29">
        <f t="shared" si="2"/>
        <v>0</v>
      </c>
      <c r="G46" s="42"/>
      <c r="H46" s="42"/>
      <c r="I46" s="42"/>
      <c r="J46" s="53">
        <f>F46/F47</f>
        <v>0</v>
      </c>
      <c r="K46" s="58" t="s">
        <v>67</v>
      </c>
    </row>
    <row r="47" s="17" customFormat="1" ht="25" customHeight="1" spans="1:11">
      <c r="A47" s="25" t="s">
        <v>68</v>
      </c>
      <c r="B47" s="28" t="s">
        <v>69</v>
      </c>
      <c r="C47" s="46"/>
      <c r="D47" s="46"/>
      <c r="E47" s="46">
        <f>E45+E46</f>
        <v>5556.24</v>
      </c>
      <c r="F47" s="29">
        <f t="shared" si="2"/>
        <v>5556.24</v>
      </c>
      <c r="G47" s="42"/>
      <c r="H47" s="42"/>
      <c r="I47" s="42"/>
      <c r="J47" s="53">
        <f>F47/F47</f>
        <v>1</v>
      </c>
      <c r="K47" s="58" t="s">
        <v>70</v>
      </c>
    </row>
    <row r="48" s="17" customFormat="1" ht="25" customHeight="1" spans="1:10">
      <c r="A48" s="20"/>
      <c r="B48" s="48"/>
      <c r="C48" s="49"/>
      <c r="D48" s="49"/>
      <c r="E48" s="49"/>
      <c r="F48" s="49"/>
      <c r="G48" s="49"/>
      <c r="H48" s="49"/>
      <c r="I48" s="49"/>
      <c r="J48" s="49"/>
    </row>
    <row r="49" s="17" customFormat="1" ht="27.95" customHeight="1" spans="1:10">
      <c r="A49" s="20"/>
      <c r="B49" s="48"/>
      <c r="C49" s="49"/>
      <c r="D49" s="49"/>
      <c r="E49" s="49"/>
      <c r="F49" s="49"/>
      <c r="G49" s="49"/>
      <c r="H49" s="49"/>
      <c r="I49" s="49"/>
      <c r="J49" s="49"/>
    </row>
    <row r="50" s="17" customFormat="1" ht="13.5" spans="1:10">
      <c r="A50" s="20"/>
      <c r="B50" s="48"/>
      <c r="C50" s="49"/>
      <c r="D50" s="49"/>
      <c r="E50" s="49"/>
      <c r="F50" s="49"/>
      <c r="G50" s="49"/>
      <c r="H50" s="49"/>
      <c r="I50" s="49"/>
      <c r="J50" s="49"/>
    </row>
    <row r="51" s="17" customFormat="1" ht="13.5" spans="1:10">
      <c r="A51" s="20"/>
      <c r="B51" s="48"/>
      <c r="C51" s="49"/>
      <c r="D51" s="49"/>
      <c r="E51" s="49"/>
      <c r="F51" s="49"/>
      <c r="G51" s="49"/>
      <c r="H51" s="49"/>
      <c r="I51" s="49"/>
      <c r="J51" s="49"/>
    </row>
    <row r="52" s="17" customFormat="1" ht="13.5" spans="1:10">
      <c r="A52" s="20"/>
      <c r="B52" s="48"/>
      <c r="C52" s="49"/>
      <c r="D52" s="49"/>
      <c r="E52" s="49"/>
      <c r="F52" s="49"/>
      <c r="G52" s="49"/>
      <c r="H52" s="49"/>
      <c r="I52" s="49"/>
      <c r="J52" s="49"/>
    </row>
  </sheetData>
  <mergeCells count="7">
    <mergeCell ref="A1:J1"/>
    <mergeCell ref="C2:F2"/>
    <mergeCell ref="G2:I2"/>
    <mergeCell ref="A2:A3"/>
    <mergeCell ref="B2:B3"/>
    <mergeCell ref="J2:J3"/>
    <mergeCell ref="K2:K3"/>
  </mergeCells>
  <printOptions horizontalCentered="1"/>
  <pageMargins left="0.236111111111111" right="0.275" top="0.472222222222222" bottom="0.472222222222222" header="0.298611111111111" footer="0.298611111111111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K16" sqref="K16"/>
    </sheetView>
  </sheetViews>
  <sheetFormatPr defaultColWidth="9.33333333333333" defaultRowHeight="12.75" outlineLevelCol="6"/>
  <cols>
    <col min="1" max="1" width="9.33333333333333" style="1"/>
    <col min="2" max="2" width="23.1666666666667" style="1" customWidth="1"/>
    <col min="3" max="3" width="19.6666666666667" style="1" customWidth="1"/>
    <col min="4" max="4" width="16.3333333333333" style="2" customWidth="1"/>
    <col min="5" max="5" width="18.8333333333333" style="2" customWidth="1"/>
    <col min="6" max="6" width="18.6666666666667" style="1" customWidth="1"/>
    <col min="7" max="7" width="22.1666666666667" style="1" customWidth="1"/>
    <col min="8" max="16384" width="9.33333333333333" style="1"/>
  </cols>
  <sheetData>
    <row r="1" customHeight="1"/>
    <row r="3" ht="26.1" customHeight="1" spans="1:7">
      <c r="A3" s="3" t="s">
        <v>1</v>
      </c>
      <c r="B3" s="3" t="s">
        <v>71</v>
      </c>
      <c r="C3" s="4" t="s">
        <v>72</v>
      </c>
      <c r="D3" s="5" t="s">
        <v>73</v>
      </c>
      <c r="E3" s="6" t="s">
        <v>74</v>
      </c>
      <c r="F3" s="7" t="s">
        <v>75</v>
      </c>
      <c r="G3" s="3" t="s">
        <v>5</v>
      </c>
    </row>
    <row r="4" ht="26.1" customHeight="1" spans="1:7">
      <c r="A4" s="3"/>
      <c r="B4" s="3"/>
      <c r="C4" s="8"/>
      <c r="D4" s="9"/>
      <c r="E4" s="6"/>
      <c r="F4" s="7"/>
      <c r="G4" s="3"/>
    </row>
    <row r="5" ht="26.1" customHeight="1" spans="1:7">
      <c r="A5" s="3" t="s">
        <v>13</v>
      </c>
      <c r="B5" s="3" t="s">
        <v>14</v>
      </c>
      <c r="C5" s="3">
        <f>SUM(C6:C7)</f>
        <v>3298.18</v>
      </c>
      <c r="D5" s="10"/>
      <c r="E5" s="10"/>
      <c r="F5" s="11"/>
      <c r="G5" s="3"/>
    </row>
    <row r="6" ht="26.1" customHeight="1" spans="1:7">
      <c r="A6" s="3" t="s">
        <v>16</v>
      </c>
      <c r="B6" s="3" t="s">
        <v>76</v>
      </c>
      <c r="C6" s="3">
        <v>2135.25</v>
      </c>
      <c r="D6" s="10" t="e">
        <f>概算汇总表!#REF!</f>
        <v>#REF!</v>
      </c>
      <c r="E6" s="10" t="e">
        <f>D6-C6</f>
        <v>#REF!</v>
      </c>
      <c r="F6" s="11" t="e">
        <f>E6/C6</f>
        <v>#REF!</v>
      </c>
      <c r="G6" s="3"/>
    </row>
    <row r="7" ht="26.1" customHeight="1" spans="1:7">
      <c r="A7" s="3" t="s">
        <v>21</v>
      </c>
      <c r="B7" s="3" t="s">
        <v>77</v>
      </c>
      <c r="C7" s="3">
        <v>1162.93</v>
      </c>
      <c r="D7" s="10"/>
      <c r="E7" s="10"/>
      <c r="F7" s="11"/>
      <c r="G7" s="3"/>
    </row>
    <row r="8" ht="26.1" customHeight="1" spans="1:7">
      <c r="A8" s="3" t="s">
        <v>26</v>
      </c>
      <c r="B8" s="3" t="s">
        <v>78</v>
      </c>
      <c r="C8" s="3">
        <v>406.77</v>
      </c>
      <c r="D8" s="10" t="e">
        <f>概算汇总表!#REF!</f>
        <v>#REF!</v>
      </c>
      <c r="E8" s="10" t="e">
        <f>D8-C8</f>
        <v>#REF!</v>
      </c>
      <c r="F8" s="11" t="e">
        <f>E8/C8</f>
        <v>#REF!</v>
      </c>
      <c r="G8" s="3"/>
    </row>
    <row r="9" ht="26.1" customHeight="1" spans="1:7">
      <c r="A9" s="3" t="s">
        <v>60</v>
      </c>
      <c r="B9" s="3" t="s">
        <v>61</v>
      </c>
      <c r="C9" s="3">
        <v>296.4</v>
      </c>
      <c r="D9" s="10" t="e">
        <f>概算汇总表!#REF!</f>
        <v>#REF!</v>
      </c>
      <c r="E9" s="12" t="e">
        <f>D9-C9</f>
        <v>#REF!</v>
      </c>
      <c r="F9" s="13" t="e">
        <f>E9/C9</f>
        <v>#REF!</v>
      </c>
      <c r="G9" s="4" t="s">
        <v>79</v>
      </c>
    </row>
    <row r="10" ht="26.1" customHeight="1" spans="1:7">
      <c r="A10" s="3"/>
      <c r="B10" s="3"/>
      <c r="C10" s="3"/>
      <c r="D10" s="10"/>
      <c r="E10" s="14"/>
      <c r="F10" s="15"/>
      <c r="G10" s="8"/>
    </row>
    <row r="11" ht="26.1" customHeight="1" spans="1:7">
      <c r="A11" s="3" t="s">
        <v>65</v>
      </c>
      <c r="B11" s="3" t="s">
        <v>66</v>
      </c>
      <c r="C11" s="10">
        <v>0</v>
      </c>
      <c r="D11" s="10" t="e">
        <f>概算汇总表!#REF!</f>
        <v>#REF!</v>
      </c>
      <c r="E11" s="10"/>
      <c r="F11" s="11"/>
      <c r="G11" s="7"/>
    </row>
    <row r="12" ht="26.1" customHeight="1" spans="1:7">
      <c r="A12" s="3" t="s">
        <v>68</v>
      </c>
      <c r="B12" s="3" t="s">
        <v>80</v>
      </c>
      <c r="C12" s="3">
        <f>SUM(C5,C8:C11)</f>
        <v>4001.35</v>
      </c>
      <c r="D12" s="10" t="e">
        <f>SUM(D5:D11)</f>
        <v>#REF!</v>
      </c>
      <c r="E12" s="10" t="e">
        <f>D12-C12</f>
        <v>#REF!</v>
      </c>
      <c r="F12" s="11" t="e">
        <f>E12/C12</f>
        <v>#REF!</v>
      </c>
      <c r="G12" s="3"/>
    </row>
    <row r="13" ht="26.1" customHeight="1"/>
    <row r="14" ht="26.1" customHeight="1"/>
    <row r="15" ht="26.1" customHeight="1"/>
  </sheetData>
  <mergeCells count="14">
    <mergeCell ref="A3:A4"/>
    <mergeCell ref="A9:A10"/>
    <mergeCell ref="B3:B4"/>
    <mergeCell ref="B9:B10"/>
    <mergeCell ref="C3:C4"/>
    <mergeCell ref="C9:C10"/>
    <mergeCell ref="D3:D4"/>
    <mergeCell ref="D9:D10"/>
    <mergeCell ref="E3:E4"/>
    <mergeCell ref="E9:E10"/>
    <mergeCell ref="F3:F4"/>
    <mergeCell ref="F9:F10"/>
    <mergeCell ref="G3:G4"/>
    <mergeCell ref="G9:G1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概算汇总表</vt:lpstr>
      <vt:lpstr>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懂你</cp:lastModifiedBy>
  <dcterms:created xsi:type="dcterms:W3CDTF">2020-12-17T02:15:00Z</dcterms:created>
  <cp:lastPrinted>2022-06-07T09:23:00Z</cp:lastPrinted>
  <dcterms:modified xsi:type="dcterms:W3CDTF">2025-03-18T07:58:53Z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eadingLayout">
    <vt:bool>true</vt:bool>
  </property>
  <property fmtid="{D5CDD505-2E9C-101B-9397-08002B2CF9AE}" pid="4" name="ICV">
    <vt:lpwstr>32DBD8E283814798ADAA29377EF97911</vt:lpwstr>
  </property>
</Properties>
</file>