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activeTab="1"/>
  </bookViews>
  <sheets>
    <sheet name="总概算表" sheetId="1" r:id="rId1"/>
    <sheet name="总概算表1" sheetId="15" r:id="rId2"/>
    <sheet name="总概算对比表（龙水片区）" sheetId="3" r:id="rId3"/>
    <sheet name="总概算对比表（三驱片区）" sheetId="13" r:id="rId4"/>
    <sheet name="总概算对比表（万古片区）" sheetId="14" r:id="rId5"/>
    <sheet name="Sheet4" sheetId="16" r:id="rId6"/>
    <sheet name="对比" sheetId="12" r:id="rId7"/>
    <sheet name="概算表-龙岗片区" sheetId="7" r:id="rId8"/>
    <sheet name="概算对比表-龙岗片区" sheetId="8" r:id="rId9"/>
    <sheet name="概算表-棠香片区" sheetId="9" r:id="rId10"/>
    <sheet name="概算对比表-棠香片区" sheetId="11" r:id="rId11"/>
    <sheet name="Sheet3" sheetId="6" r:id="rId12"/>
    <sheet name="Sheet1" sheetId="5" r:id="rId13"/>
    <sheet name="Sheet2" sheetId="4" r:id="rId14"/>
  </sheets>
  <definedNames>
    <definedName name="_xlnm.Print_Titles" localSheetId="0">总概算表!$1:$4</definedName>
    <definedName name="_xlnm.Print_Titles" localSheetId="8">'概算对比表-龙岗片区'!$1:$4</definedName>
    <definedName name="_xlnm.Print_Area" localSheetId="0">总概算表!$A$1:$H$34</definedName>
    <definedName name="_xlnm.Print_Titles" localSheetId="2">'总概算对比表（龙水片区）'!$1:$4</definedName>
    <definedName name="_xlnm.Print_Area" localSheetId="2">'总概算对比表（龙水片区）'!$A$1:$N$43</definedName>
    <definedName name="_xlnm.Print_Titles" localSheetId="3">'总概算对比表（三驱片区）'!$1:$4</definedName>
    <definedName name="_xlnm.Print_Area" localSheetId="3">'总概算对比表（三驱片区）'!$A$1:$N$43</definedName>
    <definedName name="_xlnm.Print_Titles" localSheetId="4">'总概算对比表（万古片区）'!$1:$4</definedName>
    <definedName name="_xlnm.Print_Area" localSheetId="4">'总概算对比表（万古片区）'!$A$1:$N$43</definedName>
  </definedNames>
  <calcPr calcId="144525" concurrentCalc="0"/>
</workbook>
</file>

<file path=xl/sharedStrings.xml><?xml version="1.0" encoding="utf-8"?>
<sst xmlns="http://schemas.openxmlformats.org/spreadsheetml/2006/main" count="1119" uniqueCount="221">
  <si>
    <t>概算表</t>
  </si>
  <si>
    <t xml:space="preserve">工程名称：重庆市大足区中心城区2023年老旧小区主体改造工程（龙岗片区、棠香片区）                           金额单位：万元 </t>
  </si>
  <si>
    <t>序号</t>
  </si>
  <si>
    <t>工程或费用名称</t>
  </si>
  <si>
    <t>概算造价</t>
  </si>
  <si>
    <t>占总投资额
（%）</t>
  </si>
  <si>
    <t>备注</t>
  </si>
  <si>
    <t>建筑
工程费</t>
  </si>
  <si>
    <t>安装工程费</t>
  </si>
  <si>
    <t>其他项目费</t>
  </si>
  <si>
    <t>合计</t>
  </si>
  <si>
    <t>一</t>
  </si>
  <si>
    <t>工程费</t>
  </si>
  <si>
    <t>1+2</t>
  </si>
  <si>
    <t>重庆市大足区中心城区2023年老旧小区主体改造工程（棠香片区）</t>
  </si>
  <si>
    <t>重庆市大足区中心城区2023年老旧小区主体改造工程（龙岗片区）</t>
  </si>
  <si>
    <t>二</t>
  </si>
  <si>
    <t>工程建设其他费用</t>
  </si>
  <si>
    <t>（一）+（二）</t>
  </si>
  <si>
    <t>（一）</t>
  </si>
  <si>
    <t>建设用地费用</t>
  </si>
  <si>
    <t>不发生</t>
  </si>
  <si>
    <t>（二）</t>
  </si>
  <si>
    <t>与项目建设有关的其他费用</t>
  </si>
  <si>
    <t>1+2+3...+9</t>
  </si>
  <si>
    <t>前期工作咨询费</t>
  </si>
  <si>
    <t>1.1</t>
  </si>
  <si>
    <t>编制可行性研究报告</t>
  </si>
  <si>
    <t>按实计取</t>
  </si>
  <si>
    <t>1.2</t>
  </si>
  <si>
    <t>可行性研究报告评估费</t>
  </si>
  <si>
    <t>不由建设单位支出</t>
  </si>
  <si>
    <t>2</t>
  </si>
  <si>
    <t>工程设计费</t>
  </si>
  <si>
    <t>按计价格〔2002〕10号文下浮20%计取</t>
  </si>
  <si>
    <t>3</t>
  </si>
  <si>
    <t>施工图审查费</t>
  </si>
  <si>
    <t>按渝价〔2013〕423号文计取</t>
  </si>
  <si>
    <t>4</t>
  </si>
  <si>
    <t>招标代理服务费</t>
  </si>
  <si>
    <t>按发改价格〔2011〕534号文计取</t>
  </si>
  <si>
    <t>5</t>
  </si>
  <si>
    <t>工程造价咨询服务费</t>
  </si>
  <si>
    <t>5.1+5.2+5.3+5.4</t>
  </si>
  <si>
    <t>5.1</t>
  </si>
  <si>
    <t>概算审查费</t>
  </si>
  <si>
    <t>5.2</t>
  </si>
  <si>
    <t>工程量清单及组价编制费</t>
  </si>
  <si>
    <t>按渝价〔2013〕428号文下浮30%计取</t>
  </si>
  <si>
    <t>5.3</t>
  </si>
  <si>
    <t>工程量清单及组价审核费</t>
  </si>
  <si>
    <t>5.4</t>
  </si>
  <si>
    <t>工程量清单施工阶段工程造价全过程控制</t>
  </si>
  <si>
    <t>6</t>
  </si>
  <si>
    <t>竣工财务决算费</t>
  </si>
  <si>
    <t>按渝价〔2011〕257号文计取</t>
  </si>
  <si>
    <t>7</t>
  </si>
  <si>
    <t>工程建设监理费</t>
  </si>
  <si>
    <t>按发改价〔2007〕670号文下浮20%计取</t>
  </si>
  <si>
    <t>8</t>
  </si>
  <si>
    <t>安全生产保障费</t>
  </si>
  <si>
    <t>按建筑安装工程费用的0.5%计取</t>
  </si>
  <si>
    <t>9</t>
  </si>
  <si>
    <t>现场测量费</t>
  </si>
  <si>
    <t>（三）</t>
  </si>
  <si>
    <t>工程建设管理费</t>
  </si>
  <si>
    <t>1</t>
  </si>
  <si>
    <t>项目建设管理费</t>
  </si>
  <si>
    <t>按财建〔2016〕504号文计取</t>
  </si>
  <si>
    <t>建设工程招标投标交易服务费</t>
  </si>
  <si>
    <t>按渝价〔2018〕54号文计取</t>
  </si>
  <si>
    <t>（四）</t>
  </si>
  <si>
    <t>其它费用</t>
  </si>
  <si>
    <t>场地准备及临时设施费</t>
  </si>
  <si>
    <t>工程保险费</t>
  </si>
  <si>
    <t>按建筑安装工程费用的0.3%计取</t>
  </si>
  <si>
    <t>三</t>
  </si>
  <si>
    <t>预备费用</t>
  </si>
  <si>
    <t>基本预备费</t>
  </si>
  <si>
    <t>（一+二-建设用地费用）*5%</t>
  </si>
  <si>
    <t>四</t>
  </si>
  <si>
    <t>建设项目总概算</t>
  </si>
  <si>
    <t>一+二+三</t>
  </si>
  <si>
    <t xml:space="preserve">工程名称：重庆市大足区2023年万古镇、三驱镇及龙水镇老旧小区基础配套工程                                 金额单位：万元 </t>
  </si>
  <si>
    <t>重庆市大足区2023年万古镇、三驱镇及龙水镇老旧小区基础配套工程（龙水片区）</t>
  </si>
  <si>
    <t>重庆市大足区2023年万古镇、三驱镇及龙水镇老旧小区基础配套工程（三驱片区）</t>
  </si>
  <si>
    <t>重庆市大足区2023年万古镇、三驱镇及龙水镇老旧小区基础配套工程（万古片区）</t>
  </si>
  <si>
    <t>渝价[2013]430号文下浮30%计取</t>
  </si>
  <si>
    <t>1.3</t>
  </si>
  <si>
    <t>环境影响评价费</t>
  </si>
  <si>
    <t>按发改价格〔2011〕534号文计取下浮30%计取</t>
  </si>
  <si>
    <t>结算审核费</t>
  </si>
  <si>
    <t>5.5</t>
  </si>
  <si>
    <t>按发改价〔2007〕670号文下浮30%计取</t>
  </si>
  <si>
    <t>10</t>
  </si>
  <si>
    <t>工程勘察费</t>
  </si>
  <si>
    <t>根据（CQGSBF-JA-2021）中按工程费0.95%</t>
  </si>
  <si>
    <t>11</t>
  </si>
  <si>
    <t>勘察成果费</t>
  </si>
  <si>
    <t>11.1</t>
  </si>
  <si>
    <t>勘察成果审查费</t>
  </si>
  <si>
    <r>
      <rPr>
        <sz val="9"/>
        <color indexed="8"/>
        <rFont val="宋体"/>
        <charset val="134"/>
      </rPr>
      <t>按渝价</t>
    </r>
    <r>
      <rPr>
        <sz val="10"/>
        <rFont val="宋体"/>
        <charset val="134"/>
      </rPr>
      <t>(2013)423号计取</t>
    </r>
  </si>
  <si>
    <t>11.2</t>
  </si>
  <si>
    <t>勘察成果见证费</t>
  </si>
  <si>
    <t>按渝建发（2008）209号计取</t>
  </si>
  <si>
    <t>按财建〔2016〕504号文计取下浮30%计取</t>
  </si>
  <si>
    <t>按渝价〔2018〕54号文计取下浮30%计取</t>
  </si>
  <si>
    <t>建设期贷款利息</t>
  </si>
  <si>
    <t>五</t>
  </si>
  <si>
    <t>总概算对比表</t>
  </si>
  <si>
    <t xml:space="preserve">工程名称：重庆市大足区2023年万古镇、三驱镇及龙水镇老旧小区基础配套工程（龙水片区）                                                             金额单位：万元                                                                       </t>
  </si>
  <si>
    <t>单位</t>
  </si>
  <si>
    <t>概算送审造价</t>
  </si>
  <si>
    <t>概算审核造价</t>
  </si>
  <si>
    <t>调整值</t>
  </si>
  <si>
    <t>建筑工程费</t>
  </si>
  <si>
    <t>万元</t>
  </si>
  <si>
    <r>
      <rPr>
        <sz val="8.4"/>
        <color rgb="FF000000"/>
        <rFont val="宋体"/>
        <charset val="134"/>
      </rPr>
      <t>前期工作咨询费</t>
    </r>
  </si>
  <si>
    <r>
      <rPr>
        <sz val="8.4"/>
        <color rgb="FF000000"/>
        <rFont val="宋体"/>
        <charset val="134"/>
      </rPr>
      <t>编制可行性研究报告</t>
    </r>
  </si>
  <si>
    <t>取费基数的减少</t>
  </si>
  <si>
    <r>
      <rPr>
        <sz val="8.4"/>
        <color rgb="FF000000"/>
        <rFont val="宋体"/>
        <charset val="134"/>
      </rPr>
      <t>工程设计费</t>
    </r>
  </si>
  <si>
    <t>取费基数、费率的调整</t>
  </si>
  <si>
    <r>
      <rPr>
        <sz val="8.4"/>
        <color rgb="FF000000"/>
        <rFont val="宋体"/>
        <charset val="134"/>
      </rPr>
      <t>招标代理服务费</t>
    </r>
  </si>
  <si>
    <t>取费费率的调整</t>
  </si>
  <si>
    <r>
      <rPr>
        <sz val="8.4"/>
        <color rgb="FF000000"/>
        <rFont val="宋体"/>
        <charset val="134"/>
      </rPr>
      <t>工程造价咨询服务费</t>
    </r>
  </si>
  <si>
    <r>
      <rPr>
        <sz val="8.4"/>
        <color rgb="FF000000"/>
        <rFont val="宋体"/>
        <charset val="134"/>
      </rPr>
      <t>概算审查费</t>
    </r>
  </si>
  <si>
    <r>
      <rPr>
        <sz val="8.4"/>
        <color rgb="FF000000"/>
        <rFont val="宋体"/>
        <charset val="134"/>
      </rPr>
      <t>工程量清单及组价编制费</t>
    </r>
  </si>
  <si>
    <r>
      <rPr>
        <sz val="8.4"/>
        <color rgb="FF000000"/>
        <rFont val="宋体"/>
        <charset val="134"/>
      </rPr>
      <t>工程量清单及组价审核费</t>
    </r>
  </si>
  <si>
    <r>
      <rPr>
        <sz val="8.4"/>
        <color rgb="FF000000"/>
        <rFont val="宋体"/>
        <charset val="134"/>
      </rPr>
      <t>竣工财务决算费</t>
    </r>
  </si>
  <si>
    <r>
      <rPr>
        <sz val="8.4"/>
        <color rgb="FF000000"/>
        <rFont val="宋体"/>
        <charset val="134"/>
      </rPr>
      <t>工程建设监理费</t>
    </r>
  </si>
  <si>
    <r>
      <rPr>
        <sz val="8.4"/>
        <color rgb="FF000000"/>
        <rFont val="宋体"/>
        <charset val="134"/>
      </rPr>
      <t>安全生产保障费</t>
    </r>
  </si>
  <si>
    <r>
      <rPr>
        <sz val="8.4"/>
        <color rgb="FF000000"/>
        <rFont val="宋体"/>
        <charset val="134"/>
      </rPr>
      <t>现场测量费</t>
    </r>
  </si>
  <si>
    <r>
      <rPr>
        <b/>
        <sz val="8.4"/>
        <color rgb="FF000000"/>
        <rFont val="宋体"/>
        <charset val="134"/>
      </rPr>
      <t>工程建设管理费</t>
    </r>
  </si>
  <si>
    <r>
      <rPr>
        <sz val="8.4"/>
        <color rgb="FF000000"/>
        <rFont val="宋体"/>
        <charset val="134"/>
      </rPr>
      <t>项目建设管理费</t>
    </r>
  </si>
  <si>
    <r>
      <rPr>
        <sz val="8.4"/>
        <color rgb="FF000000"/>
        <rFont val="宋体"/>
        <charset val="134"/>
      </rPr>
      <t>建设工程招标投标交易服务费</t>
    </r>
  </si>
  <si>
    <r>
      <rPr>
        <b/>
        <sz val="8.4"/>
        <color rgb="FF000000"/>
        <rFont val="宋体"/>
        <charset val="134"/>
      </rPr>
      <t>其它费用</t>
    </r>
  </si>
  <si>
    <r>
      <rPr>
        <sz val="8.4"/>
        <color rgb="FF000000"/>
        <rFont val="宋体"/>
        <charset val="134"/>
      </rPr>
      <t>场地准备及临时设施费</t>
    </r>
  </si>
  <si>
    <r>
      <rPr>
        <sz val="8.4"/>
        <color rgb="FF000000"/>
        <rFont val="宋体"/>
        <charset val="134"/>
      </rPr>
      <t>工程保险费</t>
    </r>
  </si>
  <si>
    <t xml:space="preserve">工程名称：重庆市大足区2023年万古镇、三驱镇及龙水镇老旧小区基础配套工程（三驱片区）                                                                   金额单位：万元                                                                       </t>
  </si>
  <si>
    <t xml:space="preserve">工程名称：重庆市大足区2023年万古镇、三驱镇及龙水镇老旧小区基础配套工程（万古片区）                                                                   金额单位：万元                                                                       </t>
  </si>
  <si>
    <r>
      <rPr>
        <sz val="14"/>
        <rFont val="仿宋"/>
        <charset val="134"/>
      </rPr>
      <t>序号</t>
    </r>
  </si>
  <si>
    <r>
      <rPr>
        <sz val="14"/>
        <rFont val="仿宋"/>
        <charset val="134"/>
      </rPr>
      <t>项目名称</t>
    </r>
  </si>
  <si>
    <r>
      <rPr>
        <sz val="14"/>
        <rFont val="仿宋"/>
        <charset val="134"/>
      </rPr>
      <t>送审金额</t>
    </r>
  </si>
  <si>
    <r>
      <rPr>
        <sz val="14"/>
        <rFont val="仿宋"/>
        <charset val="134"/>
      </rPr>
      <t>审定金额</t>
    </r>
  </si>
  <si>
    <r>
      <rPr>
        <sz val="14"/>
        <rFont val="仿宋"/>
        <charset val="134"/>
      </rPr>
      <t>审增、减金额</t>
    </r>
  </si>
  <si>
    <r>
      <rPr>
        <sz val="14"/>
        <rFont val="仿宋"/>
        <charset val="134"/>
      </rPr>
      <t>审增、减率</t>
    </r>
  </si>
  <si>
    <r>
      <rPr>
        <sz val="14"/>
        <rFont val="仿宋"/>
        <charset val="134"/>
      </rPr>
      <t>工程费用</t>
    </r>
  </si>
  <si>
    <r>
      <rPr>
        <sz val="14"/>
        <rFont val="仿宋"/>
        <charset val="134"/>
      </rPr>
      <t>工程其他费用</t>
    </r>
  </si>
  <si>
    <r>
      <rPr>
        <sz val="14"/>
        <rFont val="仿宋"/>
        <charset val="134"/>
      </rPr>
      <t>预备费</t>
    </r>
  </si>
  <si>
    <t>建设期利息</t>
  </si>
  <si>
    <r>
      <rPr>
        <sz val="14"/>
        <rFont val="仿宋"/>
        <charset val="134"/>
      </rPr>
      <t>合计</t>
    </r>
  </si>
  <si>
    <t xml:space="preserve">工程名称：重庆市大足区中心城区2023年老旧小区主体改造工程（龙岗片区）                     金额单位：万元 </t>
  </si>
  <si>
    <t>69队家属院</t>
  </si>
  <si>
    <r>
      <rPr>
        <sz val="8.4"/>
        <color rgb="FF000000"/>
        <rFont val="宋体"/>
        <charset val="134"/>
      </rPr>
      <t>北禅二组</t>
    </r>
  </si>
  <si>
    <r>
      <rPr>
        <sz val="8.4"/>
        <color rgb="FF000000"/>
        <rFont val="宋体"/>
        <charset val="134"/>
      </rPr>
      <t>碧景苑</t>
    </r>
  </si>
  <si>
    <r>
      <rPr>
        <sz val="8.4"/>
        <color rgb="FF000000"/>
        <rFont val="宋体"/>
        <charset val="134"/>
      </rPr>
      <t>电力公司家属院</t>
    </r>
  </si>
  <si>
    <r>
      <rPr>
        <sz val="8.4"/>
        <color rgb="FF000000"/>
        <rFont val="宋体"/>
        <charset val="134"/>
      </rPr>
      <t>电影公司家属院</t>
    </r>
  </si>
  <si>
    <r>
      <rPr>
        <sz val="8.4"/>
        <color rgb="FF000000"/>
        <rFont val="宋体"/>
        <charset val="134"/>
      </rPr>
      <t>防疫站家属院</t>
    </r>
  </si>
  <si>
    <r>
      <rPr>
        <sz val="8.4"/>
        <color rgb="FF000000"/>
        <rFont val="宋体"/>
        <charset val="134"/>
      </rPr>
      <t>华丰商住楼</t>
    </r>
  </si>
  <si>
    <r>
      <rPr>
        <sz val="8.4"/>
        <color rgb="FF000000"/>
        <rFont val="宋体"/>
        <charset val="134"/>
      </rPr>
      <t>老党校家属院</t>
    </r>
  </si>
  <si>
    <r>
      <rPr>
        <sz val="8.4"/>
        <color rgb="FF000000"/>
        <rFont val="宋体"/>
        <charset val="134"/>
      </rPr>
      <t>老粮种场</t>
    </r>
  </si>
  <si>
    <r>
      <rPr>
        <sz val="8.4"/>
        <color rgb="FF000000"/>
        <rFont val="宋体"/>
        <charset val="134"/>
      </rPr>
      <t>老农业局家属院</t>
    </r>
  </si>
  <si>
    <r>
      <rPr>
        <sz val="8.4"/>
        <color rgb="FF000000"/>
        <rFont val="宋体"/>
        <charset val="134"/>
      </rPr>
      <t>老医院家属院</t>
    </r>
  </si>
  <si>
    <r>
      <rPr>
        <sz val="8.4"/>
        <color rgb="FF000000"/>
        <rFont val="宋体"/>
        <charset val="134"/>
      </rPr>
      <t>累丰廉租房</t>
    </r>
  </si>
  <si>
    <r>
      <rPr>
        <sz val="8.4"/>
        <color rgb="FF000000"/>
        <rFont val="宋体"/>
        <charset val="134"/>
      </rPr>
      <t>林荫饭店集资房</t>
    </r>
  </si>
  <si>
    <r>
      <rPr>
        <sz val="8.4"/>
        <color rgb="FF000000"/>
        <rFont val="宋体"/>
        <charset val="134"/>
      </rPr>
      <t>水果市场家属院</t>
    </r>
  </si>
  <si>
    <r>
      <rPr>
        <sz val="8.4"/>
        <color rgb="FF000000"/>
        <rFont val="宋体"/>
        <charset val="134"/>
      </rPr>
      <t>万隆公司家属院</t>
    </r>
  </si>
  <si>
    <r>
      <rPr>
        <sz val="8.4"/>
        <color rgb="FF000000"/>
        <rFont val="宋体"/>
        <charset val="134"/>
      </rPr>
      <t>物资局家属院</t>
    </r>
  </si>
  <si>
    <r>
      <rPr>
        <sz val="8.4"/>
        <color rgb="FF000000"/>
        <rFont val="宋体"/>
        <charset val="134"/>
      </rPr>
      <t>西城大厦</t>
    </r>
  </si>
  <si>
    <r>
      <rPr>
        <sz val="8.4"/>
        <color rgb="FF000000"/>
        <rFont val="宋体"/>
        <charset val="134"/>
      </rPr>
      <t>西门游园</t>
    </r>
  </si>
  <si>
    <r>
      <rPr>
        <sz val="8.4"/>
        <color rgb="FF000000"/>
        <rFont val="宋体"/>
        <charset val="134"/>
      </rPr>
      <t>竹凌花园</t>
    </r>
  </si>
  <si>
    <r>
      <rPr>
        <sz val="8.4"/>
        <color rgb="FF000000"/>
        <rFont val="宋体"/>
        <charset val="134"/>
      </rPr>
      <t>可行性研究报告评估费</t>
    </r>
  </si>
  <si>
    <r>
      <rPr>
        <sz val="8.4"/>
        <color rgb="FF000000"/>
        <rFont val="宋体"/>
        <charset val="134"/>
      </rPr>
      <t>施工图审查费</t>
    </r>
  </si>
  <si>
    <t>概算对比表</t>
  </si>
  <si>
    <t xml:space="preserve">工程名称：重庆市大足区中心城区2023年老旧小区主体改造工程（龙岗片区）                                                           金额单位：万元                                                                       </t>
  </si>
  <si>
    <t>建管站家属院小区</t>
  </si>
  <si>
    <t>测绘队家属院小区</t>
  </si>
  <si>
    <t>设计院家属院</t>
  </si>
  <si>
    <t>学府小区</t>
  </si>
  <si>
    <t>月池小区</t>
  </si>
  <si>
    <t>南津花园下区</t>
  </si>
  <si>
    <t>人和花园小区</t>
  </si>
  <si>
    <t>广电小区</t>
  </si>
  <si>
    <t>徐家大院小区</t>
  </si>
  <si>
    <t>马家大院小区</t>
  </si>
  <si>
    <t>公社家园小区</t>
  </si>
  <si>
    <t>万城大厦小区</t>
  </si>
  <si>
    <t>八角庙小区</t>
  </si>
  <si>
    <t>园艺小区</t>
  </si>
  <si>
    <t>南骊轩小区</t>
  </si>
  <si>
    <t>职教中心还建房小区</t>
  </si>
  <si>
    <t xml:space="preserve">工程名称：重庆市大足区中心城区2023年老旧小区主体改造工程（棠香片区）                                                                金额单位：万元                                                                       </t>
  </si>
  <si>
    <r>
      <rPr>
        <sz val="8.4"/>
        <color rgb="FF000000"/>
        <rFont val="宋体"/>
        <charset val="134"/>
      </rPr>
      <t>建管站家属院小区</t>
    </r>
  </si>
  <si>
    <r>
      <rPr>
        <sz val="8.4"/>
        <color rgb="FF000000"/>
        <rFont val="宋体"/>
        <charset val="134"/>
      </rPr>
      <t>测绘队家属院小区</t>
    </r>
  </si>
  <si>
    <r>
      <rPr>
        <sz val="8.4"/>
        <color rgb="FF000000"/>
        <rFont val="宋体"/>
        <charset val="134"/>
      </rPr>
      <t>设计院家属院</t>
    </r>
  </si>
  <si>
    <r>
      <rPr>
        <sz val="8.4"/>
        <color rgb="FF000000"/>
        <rFont val="宋体"/>
        <charset val="134"/>
      </rPr>
      <t>学府小区</t>
    </r>
  </si>
  <si>
    <r>
      <rPr>
        <sz val="8.4"/>
        <color rgb="FF000000"/>
        <rFont val="宋体"/>
        <charset val="134"/>
      </rPr>
      <t>月池小区</t>
    </r>
  </si>
  <si>
    <r>
      <rPr>
        <sz val="8.4"/>
        <color rgb="FF000000"/>
        <rFont val="宋体"/>
        <charset val="134"/>
      </rPr>
      <t>南津花园下区</t>
    </r>
  </si>
  <si>
    <r>
      <rPr>
        <sz val="8.4"/>
        <color rgb="FF000000"/>
        <rFont val="宋体"/>
        <charset val="134"/>
      </rPr>
      <t>人和花园小区</t>
    </r>
  </si>
  <si>
    <r>
      <rPr>
        <sz val="8.4"/>
        <color rgb="FF000000"/>
        <rFont val="宋体"/>
        <charset val="134"/>
      </rPr>
      <t>广电小区</t>
    </r>
  </si>
  <si>
    <r>
      <rPr>
        <sz val="8.4"/>
        <color rgb="FF000000"/>
        <rFont val="宋体"/>
        <charset val="134"/>
      </rPr>
      <t>徐家大院小区</t>
    </r>
  </si>
  <si>
    <r>
      <rPr>
        <sz val="8.4"/>
        <color rgb="FF000000"/>
        <rFont val="宋体"/>
        <charset val="134"/>
      </rPr>
      <t>马家大院小区</t>
    </r>
  </si>
  <si>
    <r>
      <rPr>
        <sz val="8.4"/>
        <color rgb="FF000000"/>
        <rFont val="宋体"/>
        <charset val="134"/>
      </rPr>
      <t>公社家园小区</t>
    </r>
  </si>
  <si>
    <r>
      <rPr>
        <sz val="8.4"/>
        <color rgb="FF000000"/>
        <rFont val="宋体"/>
        <charset val="134"/>
      </rPr>
      <t>万城大厦小区</t>
    </r>
  </si>
  <si>
    <r>
      <rPr>
        <sz val="8.4"/>
        <color rgb="FF000000"/>
        <rFont val="宋体"/>
        <charset val="134"/>
      </rPr>
      <t>八角庙小区</t>
    </r>
  </si>
  <si>
    <r>
      <rPr>
        <sz val="8.4"/>
        <color rgb="FF000000"/>
        <rFont val="宋体"/>
        <charset val="134"/>
      </rPr>
      <t>园艺小区</t>
    </r>
  </si>
  <si>
    <r>
      <rPr>
        <sz val="8.4"/>
        <color rgb="FF000000"/>
        <rFont val="宋体"/>
        <charset val="134"/>
      </rPr>
      <t>南骊轩小区</t>
    </r>
  </si>
  <si>
    <r>
      <rPr>
        <sz val="8.4"/>
        <color rgb="FF000000"/>
        <rFont val="宋体"/>
        <charset val="134"/>
      </rPr>
      <t>职教中心还建房小区</t>
    </r>
  </si>
  <si>
    <t>项目名称</t>
  </si>
  <si>
    <t>送审金额</t>
  </si>
  <si>
    <t>审定金额</t>
  </si>
  <si>
    <t>审增、减金额</t>
  </si>
  <si>
    <t>审增、减率</t>
  </si>
  <si>
    <t>工程费用</t>
  </si>
  <si>
    <t>工程其他费用</t>
  </si>
  <si>
    <t>预备费</t>
  </si>
  <si>
    <t>审核金额</t>
  </si>
  <si>
    <t>审增、减（+/-）金额</t>
  </si>
  <si>
    <t>审增、减（+/-）率</t>
  </si>
  <si>
    <t>专项费用</t>
  </si>
  <si>
    <t>/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</si>
</sst>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78">
    <font>
      <sz val="12"/>
      <name val="宋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4"/>
      <name val="Times New Roman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sz val="10"/>
      <color indexed="0"/>
      <name val="宋体"/>
      <charset val="134"/>
    </font>
    <font>
      <sz val="10"/>
      <color indexed="0"/>
      <name val="方正黑体_GBK"/>
      <charset val="134"/>
    </font>
    <font>
      <sz val="10"/>
      <color theme="1"/>
      <name val="方正黑体_GBK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indexed="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9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indexed="10"/>
      <name val="宋体"/>
      <charset val="134"/>
      <scheme val="minor"/>
    </font>
    <font>
      <sz val="9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方正黑体_GBK"/>
      <charset val="134"/>
    </font>
    <font>
      <sz val="9"/>
      <color indexed="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20"/>
      <color indexed="0"/>
      <name val="宋体"/>
      <charset val="134"/>
    </font>
    <font>
      <b/>
      <sz val="9"/>
      <color indexed="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8"/>
      <color theme="1"/>
      <name val="仿宋_GB2312"/>
      <charset val="134"/>
    </font>
    <font>
      <b/>
      <sz val="10"/>
      <name val="Times New Roman"/>
      <charset val="0"/>
    </font>
    <font>
      <sz val="8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2"/>
      <color theme="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2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8.4"/>
      <color rgb="FF000000"/>
      <name val="宋体"/>
      <charset val="134"/>
    </font>
    <font>
      <b/>
      <sz val="8.4"/>
      <color rgb="FF00000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theme="2" tint="-0.75"/>
      </left>
      <right style="thin">
        <color theme="2" tint="-0.75"/>
      </right>
      <top style="thin">
        <color theme="2" tint="-0.75"/>
      </top>
      <bottom style="thin">
        <color theme="2" tint="-0.7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2" tint="-0.75"/>
      </left>
      <right style="thin">
        <color theme="2" tint="-0.75"/>
      </right>
      <top/>
      <bottom style="thin">
        <color theme="2" tint="-0.7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3">
    <xf numFmtId="0" fontId="0" fillId="0" borderId="0"/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3" borderId="11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14" applyNumberFormat="0" applyAlignment="0" applyProtection="0">
      <alignment vertical="center"/>
    </xf>
    <xf numFmtId="0" fontId="48" fillId="5" borderId="15" applyNumberFormat="0" applyAlignment="0" applyProtection="0">
      <alignment vertical="center"/>
    </xf>
    <xf numFmtId="0" fontId="49" fillId="5" borderId="14" applyNumberFormat="0" applyAlignment="0" applyProtection="0">
      <alignment vertical="center"/>
    </xf>
    <xf numFmtId="0" fontId="50" fillId="6" borderId="16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19" applyNumberFormat="0" applyAlignment="0" applyProtection="0">
      <alignment vertical="center"/>
    </xf>
    <xf numFmtId="0" fontId="6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61" fillId="35" borderId="20" applyNumberFormat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/>
    <xf numFmtId="0" fontId="69" fillId="43" borderId="0" applyNumberFormat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1" fillId="50" borderId="2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75" fillId="45" borderId="19" applyNumberFormat="0" applyAlignment="0" applyProtection="0">
      <alignment vertical="center"/>
    </xf>
    <xf numFmtId="0" fontId="0" fillId="55" borderId="27" applyNumberFormat="0" applyFont="0" applyAlignment="0" applyProtection="0">
      <alignment vertical="center"/>
    </xf>
    <xf numFmtId="0" fontId="0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2" fillId="0" borderId="2" xfId="3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10" fontId="3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right" vertical="top" wrapText="1"/>
    </xf>
    <xf numFmtId="0" fontId="0" fillId="0" borderId="0" xfId="0" applyFill="1"/>
    <xf numFmtId="0" fontId="4" fillId="0" borderId="0" xfId="0" applyFont="1" applyFill="1"/>
    <xf numFmtId="49" fontId="5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176" fontId="0" fillId="0" borderId="0" xfId="0" applyNumberForma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177" fontId="16" fillId="0" borderId="5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177" fontId="16" fillId="0" borderId="4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76" fontId="18" fillId="0" borderId="4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4" xfId="51" applyNumberFormat="1" applyFont="1" applyBorder="1" applyAlignment="1">
      <alignment horizontal="left" vertical="center" wrapText="1"/>
    </xf>
    <xf numFmtId="177" fontId="19" fillId="0" borderId="5" xfId="0" applyNumberFormat="1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 applyProtection="1">
      <alignment horizontal="center" vertical="center"/>
      <protection locked="0"/>
    </xf>
    <xf numFmtId="49" fontId="16" fillId="0" borderId="4" xfId="0" applyNumberFormat="1" applyFont="1" applyFill="1" applyBorder="1" applyAlignment="1" applyProtection="1">
      <alignment horizontal="center" vertical="center"/>
      <protection locked="0"/>
    </xf>
    <xf numFmtId="177" fontId="16" fillId="0" borderId="6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76" fontId="21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 wrapText="1"/>
    </xf>
    <xf numFmtId="0" fontId="24" fillId="2" borderId="0" xfId="77" applyFont="1" applyFill="1" applyAlignment="1"/>
    <xf numFmtId="176" fontId="25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0" fillId="0" borderId="0" xfId="0" applyFill="1" applyAlignment="1">
      <alignment horizontal="center" wrapText="1"/>
    </xf>
    <xf numFmtId="176" fontId="0" fillId="0" borderId="0" xfId="0" applyNumberFormat="1" applyFill="1" applyAlignment="1">
      <alignment horizontal="center" wrapText="1"/>
    </xf>
    <xf numFmtId="0" fontId="25" fillId="0" borderId="0" xfId="0" applyFont="1" applyFill="1" applyAlignment="1">
      <alignment horizontal="center" vertical="center" shrinkToFit="1"/>
    </xf>
    <xf numFmtId="0" fontId="26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176" fontId="26" fillId="0" borderId="0" xfId="0" applyNumberFormat="1" applyFont="1" applyFill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176" fontId="12" fillId="0" borderId="8" xfId="0" applyNumberFormat="1" applyFont="1" applyFill="1" applyBorder="1" applyAlignment="1" applyProtection="1">
      <alignment horizontal="center" vertical="center"/>
      <protection locked="0"/>
    </xf>
    <xf numFmtId="10" fontId="13" fillId="0" borderId="4" xfId="0" applyNumberFormat="1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shrinkToFit="1"/>
    </xf>
    <xf numFmtId="176" fontId="16" fillId="0" borderId="4" xfId="0" applyNumberFormat="1" applyFont="1" applyFill="1" applyBorder="1" applyAlignment="1" applyProtection="1">
      <alignment horizontal="center" vertical="center"/>
      <protection locked="0"/>
    </xf>
    <xf numFmtId="176" fontId="16" fillId="0" borderId="8" xfId="0" applyNumberFormat="1" applyFont="1" applyFill="1" applyBorder="1" applyAlignment="1" applyProtection="1">
      <alignment horizontal="center" vertical="center"/>
      <protection locked="0"/>
    </xf>
    <xf numFmtId="10" fontId="7" fillId="0" borderId="4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wrapText="1"/>
    </xf>
    <xf numFmtId="0" fontId="16" fillId="0" borderId="4" xfId="51" applyNumberFormat="1" applyFont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176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76" fontId="21" fillId="0" borderId="4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2" fillId="0" borderId="4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left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76" fontId="34" fillId="0" borderId="4" xfId="0" applyNumberFormat="1" applyFont="1" applyFill="1" applyBorder="1" applyAlignment="1">
      <alignment horizontal="center" vertical="center" wrapText="1"/>
    </xf>
    <xf numFmtId="0" fontId="35" fillId="2" borderId="0" xfId="77" applyFont="1" applyFill="1" applyAlignment="1"/>
    <xf numFmtId="9" fontId="23" fillId="0" borderId="4" xfId="3" applyFont="1" applyFill="1" applyBorder="1" applyAlignment="1">
      <alignment horizontal="center" vertical="center" wrapText="1"/>
    </xf>
    <xf numFmtId="10" fontId="4" fillId="0" borderId="0" xfId="3" applyNumberFormat="1" applyFont="1" applyFill="1" applyAlignment="1"/>
    <xf numFmtId="0" fontId="0" fillId="0" borderId="4" xfId="0" applyFill="1" applyBorder="1"/>
    <xf numFmtId="177" fontId="16" fillId="0" borderId="9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 wrapText="1"/>
    </xf>
    <xf numFmtId="176" fontId="15" fillId="0" borderId="9" xfId="0" applyNumberFormat="1" applyFont="1" applyFill="1" applyBorder="1" applyAlignment="1">
      <alignment horizontal="center" vertical="center" wrapText="1"/>
    </xf>
    <xf numFmtId="176" fontId="25" fillId="0" borderId="9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176" fontId="12" fillId="0" borderId="10" xfId="0" applyNumberFormat="1" applyFont="1" applyFill="1" applyBorder="1" applyAlignment="1" applyProtection="1">
      <alignment horizontal="center" vertical="center"/>
      <protection locked="0"/>
    </xf>
    <xf numFmtId="10" fontId="13" fillId="0" borderId="9" xfId="0" applyNumberFormat="1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shrinkToFit="1"/>
    </xf>
    <xf numFmtId="176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36" fillId="0" borderId="4" xfId="0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4" fillId="2" borderId="0" xfId="77" applyFont="1" applyFill="1" applyBorder="1" applyAlignment="1"/>
    <xf numFmtId="0" fontId="37" fillId="0" borderId="0" xfId="0" applyFont="1" applyFill="1"/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_蔡家组团L、R标准分区道路工程横二路R区段概算总表" xfId="51"/>
    <cellStyle name="40% - 强调文字颜色 4 2" xfId="52"/>
    <cellStyle name="40% - 强调文字颜色 1 2" xfId="53"/>
    <cellStyle name="40% - 强调文字颜色 2 2" xfId="54"/>
    <cellStyle name="40% - 强调文字颜色 5 2" xfId="55"/>
    <cellStyle name="输出 2" xfId="56"/>
    <cellStyle name="60% - 强调文字颜色 4 2" xfId="57"/>
    <cellStyle name="适中 2" xfId="58"/>
    <cellStyle name="40% - 强调文字颜色 6 2" xfId="59"/>
    <cellStyle name="20% - 强调文字颜色 2 2" xfId="60"/>
    <cellStyle name="20% - 强调文字颜色 3 2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  <cellStyle name="常规_造价对比分析表" xfId="9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view="pageBreakPreview" zoomScaleNormal="100" workbookViewId="0">
      <pane ySplit="5" topLeftCell="A6" activePane="bottomLeft" state="frozen"/>
      <selection/>
      <selection pane="bottomLeft" activeCell="J29" sqref="J29"/>
    </sheetView>
  </sheetViews>
  <sheetFormatPr defaultColWidth="9" defaultRowHeight="18.75" customHeight="1"/>
  <cols>
    <col min="1" max="1" width="7" style="12" customWidth="1"/>
    <col min="2" max="2" width="26.4" style="62" customWidth="1"/>
    <col min="3" max="3" width="9.5" style="63" customWidth="1"/>
    <col min="4" max="4" width="8.9" style="63" customWidth="1"/>
    <col min="5" max="5" width="8.8" style="63" customWidth="1"/>
    <col min="6" max="6" width="9.875" style="64" customWidth="1"/>
    <col min="7" max="7" width="9.25" style="63" customWidth="1"/>
    <col min="8" max="8" width="24.2" style="65" customWidth="1"/>
    <col min="9" max="16384" width="9" style="12"/>
  </cols>
  <sheetData>
    <row r="1" s="12" customFormat="1" ht="30" customHeight="1" spans="1:8">
      <c r="A1" s="66" t="s">
        <v>0</v>
      </c>
      <c r="B1" s="67"/>
      <c r="C1" s="66"/>
      <c r="D1" s="66"/>
      <c r="E1" s="66"/>
      <c r="F1" s="68"/>
      <c r="G1" s="66"/>
      <c r="H1" s="69"/>
    </row>
    <row r="2" s="12" customFormat="1" ht="30" customHeight="1" spans="1:8">
      <c r="A2" s="70" t="s">
        <v>1</v>
      </c>
      <c r="B2" s="70"/>
      <c r="C2" s="71"/>
      <c r="D2" s="71"/>
      <c r="E2" s="71"/>
      <c r="F2" s="39"/>
      <c r="G2" s="71"/>
      <c r="H2" s="72"/>
    </row>
    <row r="3" s="61" customFormat="1" ht="30" customHeight="1" spans="1:8">
      <c r="A3" s="71" t="s">
        <v>2</v>
      </c>
      <c r="B3" s="70" t="s">
        <v>3</v>
      </c>
      <c r="C3" s="71" t="s">
        <v>4</v>
      </c>
      <c r="D3" s="71"/>
      <c r="E3" s="71"/>
      <c r="F3" s="39"/>
      <c r="G3" s="71" t="s">
        <v>5</v>
      </c>
      <c r="H3" s="73" t="s">
        <v>6</v>
      </c>
    </row>
    <row r="4" s="61" customFormat="1" ht="41" customHeight="1" spans="1:8">
      <c r="A4" s="71"/>
      <c r="B4" s="70"/>
      <c r="C4" s="71" t="s">
        <v>7</v>
      </c>
      <c r="D4" s="71" t="s">
        <v>8</v>
      </c>
      <c r="E4" s="71" t="s">
        <v>9</v>
      </c>
      <c r="F4" s="39" t="s">
        <v>10</v>
      </c>
      <c r="G4" s="71"/>
      <c r="H4" s="73"/>
    </row>
    <row r="5" s="12" customFormat="1" ht="25" customHeight="1" spans="1:8">
      <c r="A5" s="30" t="s">
        <v>11</v>
      </c>
      <c r="B5" s="31" t="s">
        <v>12</v>
      </c>
      <c r="C5" s="74">
        <f>C6+C7</f>
        <v>2551.94</v>
      </c>
      <c r="D5" s="74">
        <f>D6+D7</f>
        <v>413.78</v>
      </c>
      <c r="E5" s="74"/>
      <c r="F5" s="74">
        <f>C5+D5</f>
        <v>2965.72</v>
      </c>
      <c r="G5" s="75">
        <f>F5/$F$34</f>
        <v>0.865532165756595</v>
      </c>
      <c r="H5" s="76" t="s">
        <v>13</v>
      </c>
    </row>
    <row r="6" s="12" customFormat="1" ht="29" customHeight="1" spans="1:8">
      <c r="A6" s="35">
        <v>1</v>
      </c>
      <c r="B6" s="36" t="s">
        <v>14</v>
      </c>
      <c r="C6" s="77">
        <v>1592.96</v>
      </c>
      <c r="D6" s="77">
        <v>413.78</v>
      </c>
      <c r="E6" s="77"/>
      <c r="F6" s="78">
        <f>C6+D6</f>
        <v>2006.74</v>
      </c>
      <c r="G6" s="79">
        <f>F6/$F$34</f>
        <v>0.585658126293241</v>
      </c>
      <c r="H6" s="80"/>
    </row>
    <row r="7" s="12" customFormat="1" ht="25" customHeight="1" spans="1:8">
      <c r="A7" s="35">
        <v>2</v>
      </c>
      <c r="B7" s="36" t="s">
        <v>15</v>
      </c>
      <c r="C7" s="77">
        <v>958.98</v>
      </c>
      <c r="D7" s="77"/>
      <c r="E7" s="77"/>
      <c r="F7" s="78">
        <f>C7+D7</f>
        <v>958.98</v>
      </c>
      <c r="G7" s="79">
        <f t="shared" ref="G7:G26" si="0">F7/$F$34</f>
        <v>0.279874039463354</v>
      </c>
      <c r="H7" s="80"/>
    </row>
    <row r="8" s="12" customFormat="1" ht="25" customHeight="1" spans="1:8">
      <c r="A8" s="30" t="s">
        <v>16</v>
      </c>
      <c r="B8" s="31" t="s">
        <v>17</v>
      </c>
      <c r="C8" s="77"/>
      <c r="D8" s="77"/>
      <c r="E8" s="117">
        <f>E9+E10+E26+E29</f>
        <v>297.58</v>
      </c>
      <c r="F8" s="74">
        <f>E8</f>
        <v>297.58</v>
      </c>
      <c r="G8" s="75">
        <f t="shared" si="0"/>
        <v>0.0868473968836733</v>
      </c>
      <c r="H8" s="76" t="s">
        <v>18</v>
      </c>
    </row>
    <row r="9" s="12" customFormat="1" ht="25" customHeight="1" spans="1:8">
      <c r="A9" s="30" t="s">
        <v>19</v>
      </c>
      <c r="B9" s="31" t="s">
        <v>20</v>
      </c>
      <c r="C9" s="117"/>
      <c r="D9" s="117"/>
      <c r="E9" s="117">
        <v>0</v>
      </c>
      <c r="F9" s="74">
        <f>C9+D9</f>
        <v>0</v>
      </c>
      <c r="G9" s="75">
        <f t="shared" si="0"/>
        <v>0</v>
      </c>
      <c r="H9" s="76" t="s">
        <v>21</v>
      </c>
    </row>
    <row r="10" s="12" customFormat="1" ht="25" customHeight="1" spans="1:8">
      <c r="A10" s="30" t="s">
        <v>22</v>
      </c>
      <c r="B10" s="31" t="s">
        <v>23</v>
      </c>
      <c r="C10" s="117"/>
      <c r="D10" s="117"/>
      <c r="E10" s="117">
        <f>E11+E14+E15+E16+E17+E22+E23+E24+E25</f>
        <v>217.02</v>
      </c>
      <c r="F10" s="74">
        <f>E10</f>
        <v>217.02</v>
      </c>
      <c r="G10" s="75">
        <f t="shared" si="0"/>
        <v>0.0633363198860635</v>
      </c>
      <c r="H10" s="76" t="s">
        <v>24</v>
      </c>
    </row>
    <row r="11" s="12" customFormat="1" ht="25" customHeight="1" spans="1:8">
      <c r="A11" s="35">
        <v>1</v>
      </c>
      <c r="B11" s="36" t="s">
        <v>25</v>
      </c>
      <c r="C11" s="77"/>
      <c r="D11" s="77"/>
      <c r="E11" s="77">
        <f>E12+E13</f>
        <v>4.99</v>
      </c>
      <c r="F11" s="78">
        <f t="shared" ref="F11:F33" si="1">E11</f>
        <v>4.99</v>
      </c>
      <c r="G11" s="79">
        <f t="shared" si="0"/>
        <v>0.00145630926288571</v>
      </c>
      <c r="H11" s="80"/>
    </row>
    <row r="12" s="12" customFormat="1" ht="25" customHeight="1" spans="1:8">
      <c r="A12" s="35" t="s">
        <v>26</v>
      </c>
      <c r="B12" s="36" t="s">
        <v>27</v>
      </c>
      <c r="C12" s="77"/>
      <c r="D12" s="77"/>
      <c r="E12" s="77">
        <v>4.99</v>
      </c>
      <c r="F12" s="78">
        <f t="shared" si="1"/>
        <v>4.99</v>
      </c>
      <c r="G12" s="79">
        <f t="shared" si="0"/>
        <v>0.00145630926288571</v>
      </c>
      <c r="H12" s="80" t="s">
        <v>28</v>
      </c>
    </row>
    <row r="13" s="12" customFormat="1" ht="25" customHeight="1" spans="1:8">
      <c r="A13" s="35" t="s">
        <v>29</v>
      </c>
      <c r="B13" s="36" t="s">
        <v>30</v>
      </c>
      <c r="C13" s="77"/>
      <c r="D13" s="77"/>
      <c r="E13" s="77">
        <v>0</v>
      </c>
      <c r="F13" s="78">
        <f t="shared" si="1"/>
        <v>0</v>
      </c>
      <c r="G13" s="79">
        <f t="shared" si="0"/>
        <v>0</v>
      </c>
      <c r="H13" s="80" t="s">
        <v>31</v>
      </c>
    </row>
    <row r="14" s="12" customFormat="1" ht="25" customHeight="1" spans="1:8">
      <c r="A14" s="35" t="s">
        <v>32</v>
      </c>
      <c r="B14" s="36" t="s">
        <v>33</v>
      </c>
      <c r="C14" s="77"/>
      <c r="D14" s="77"/>
      <c r="E14" s="77">
        <f>ROUND((38.8+(103.8-38.8)*(F5-1000)/(3000-1000))*1*0.85*1*0.8,2)</f>
        <v>69.83</v>
      </c>
      <c r="F14" s="78">
        <f t="shared" si="1"/>
        <v>69.83</v>
      </c>
      <c r="G14" s="79">
        <f t="shared" si="0"/>
        <v>0.02037957431409</v>
      </c>
      <c r="H14" s="80" t="s">
        <v>34</v>
      </c>
    </row>
    <row r="15" s="12" customFormat="1" ht="25" customHeight="1" spans="1:8">
      <c r="A15" s="35" t="s">
        <v>35</v>
      </c>
      <c r="B15" s="36" t="s">
        <v>36</v>
      </c>
      <c r="C15" s="77"/>
      <c r="D15" s="77"/>
      <c r="E15" s="77">
        <f>ROUND(1000*0.19%+(F5-1000)*0.17%,2)</f>
        <v>5.24</v>
      </c>
      <c r="F15" s="78">
        <f t="shared" si="1"/>
        <v>5.24</v>
      </c>
      <c r="G15" s="79">
        <f t="shared" si="0"/>
        <v>0.00152927064880183</v>
      </c>
      <c r="H15" s="80" t="s">
        <v>37</v>
      </c>
    </row>
    <row r="16" s="12" customFormat="1" ht="25" customHeight="1" spans="1:8">
      <c r="A16" s="35" t="s">
        <v>38</v>
      </c>
      <c r="B16" s="36" t="s">
        <v>39</v>
      </c>
      <c r="C16" s="77"/>
      <c r="D16" s="77"/>
      <c r="E16" s="77">
        <f>ROUND(1+2.8+2.75+(F5-1000)*0.35%,2)</f>
        <v>13.43</v>
      </c>
      <c r="F16" s="78">
        <f t="shared" si="1"/>
        <v>13.43</v>
      </c>
      <c r="G16" s="79">
        <f t="shared" si="0"/>
        <v>0.00391948565141385</v>
      </c>
      <c r="H16" s="80" t="s">
        <v>40</v>
      </c>
    </row>
    <row r="17" s="12" customFormat="1" ht="25" customHeight="1" spans="1:8">
      <c r="A17" s="35" t="s">
        <v>41</v>
      </c>
      <c r="B17" s="36" t="s">
        <v>42</v>
      </c>
      <c r="C17" s="77"/>
      <c r="D17" s="77"/>
      <c r="E17" s="77">
        <f>E18+E19+E20+E21</f>
        <v>45.02</v>
      </c>
      <c r="F17" s="78">
        <f t="shared" si="1"/>
        <v>45.02</v>
      </c>
      <c r="G17" s="79">
        <f t="shared" si="0"/>
        <v>0.0131388863757745</v>
      </c>
      <c r="H17" s="80" t="s">
        <v>43</v>
      </c>
    </row>
    <row r="18" s="12" customFormat="1" ht="25" customHeight="1" spans="1:8">
      <c r="A18" s="35" t="s">
        <v>44</v>
      </c>
      <c r="B18" s="36" t="s">
        <v>45</v>
      </c>
      <c r="C18" s="77"/>
      <c r="D18" s="77"/>
      <c r="E18" s="77">
        <v>0</v>
      </c>
      <c r="F18" s="78">
        <f t="shared" si="1"/>
        <v>0</v>
      </c>
      <c r="G18" s="79">
        <f t="shared" si="0"/>
        <v>0</v>
      </c>
      <c r="H18" s="80" t="s">
        <v>31</v>
      </c>
    </row>
    <row r="19" s="12" customFormat="1" ht="25" customHeight="1" spans="1:8">
      <c r="A19" s="35" t="s">
        <v>46</v>
      </c>
      <c r="B19" s="36" t="s">
        <v>47</v>
      </c>
      <c r="C19" s="77"/>
      <c r="D19" s="77"/>
      <c r="E19" s="77">
        <f>ROUND((500*0.7%+500*0.6%+(F5-1000)*0.5%)*0.7,2)</f>
        <v>11.43</v>
      </c>
      <c r="F19" s="78">
        <f t="shared" si="1"/>
        <v>11.43</v>
      </c>
      <c r="G19" s="79">
        <f t="shared" si="0"/>
        <v>0.0033357945640849</v>
      </c>
      <c r="H19" s="80" t="s">
        <v>48</v>
      </c>
    </row>
    <row r="20" s="12" customFormat="1" ht="25" customHeight="1" spans="1:8">
      <c r="A20" s="35" t="s">
        <v>49</v>
      </c>
      <c r="B20" s="36" t="s">
        <v>50</v>
      </c>
      <c r="C20" s="77"/>
      <c r="D20" s="77"/>
      <c r="E20" s="77">
        <f>ROUND((500*0.7%+500*0.6%+(F5-1000)*0.5%)*0.7,2)</f>
        <v>11.43</v>
      </c>
      <c r="F20" s="78">
        <f t="shared" si="1"/>
        <v>11.43</v>
      </c>
      <c r="G20" s="79">
        <f t="shared" si="0"/>
        <v>0.0033357945640849</v>
      </c>
      <c r="H20" s="80" t="s">
        <v>48</v>
      </c>
    </row>
    <row r="21" s="12" customFormat="1" ht="25" customHeight="1" spans="1:8">
      <c r="A21" s="35" t="s">
        <v>51</v>
      </c>
      <c r="B21" s="36" t="s">
        <v>52</v>
      </c>
      <c r="C21" s="77"/>
      <c r="D21" s="77"/>
      <c r="E21" s="77">
        <f>ROUND((500*1.3%+500*1.1%+(F5-1000)*1%)*0.7,2)</f>
        <v>22.16</v>
      </c>
      <c r="F21" s="78">
        <f t="shared" si="1"/>
        <v>22.16</v>
      </c>
      <c r="G21" s="79">
        <f t="shared" si="0"/>
        <v>0.00646729724760468</v>
      </c>
      <c r="H21" s="80" t="s">
        <v>48</v>
      </c>
    </row>
    <row r="22" s="12" customFormat="1" ht="25" customHeight="1" spans="1:8">
      <c r="A22" s="35" t="s">
        <v>53</v>
      </c>
      <c r="B22" s="36" t="s">
        <v>54</v>
      </c>
      <c r="C22" s="77"/>
      <c r="D22" s="77"/>
      <c r="E22" s="77">
        <f>ROUND(0.3+2.25+(F5-1000)*0.15%,2)</f>
        <v>5.5</v>
      </c>
      <c r="F22" s="78">
        <f t="shared" si="1"/>
        <v>5.5</v>
      </c>
      <c r="G22" s="79">
        <f t="shared" si="0"/>
        <v>0.00160515049015459</v>
      </c>
      <c r="H22" s="80" t="s">
        <v>55</v>
      </c>
    </row>
    <row r="23" s="12" customFormat="1" ht="25" customHeight="1" spans="1:8">
      <c r="A23" s="35" t="s">
        <v>56</v>
      </c>
      <c r="B23" s="36" t="s">
        <v>57</v>
      </c>
      <c r="C23" s="77"/>
      <c r="D23" s="77"/>
      <c r="E23" s="77">
        <f>ROUND((30.1+(78.1-30.1)*(F5-1000)/(3000-1000))*0.85*0.8,2)</f>
        <v>52.55</v>
      </c>
      <c r="F23" s="78">
        <f t="shared" si="1"/>
        <v>52.55</v>
      </c>
      <c r="G23" s="79">
        <f t="shared" si="0"/>
        <v>0.0153364833195679</v>
      </c>
      <c r="H23" s="80" t="s">
        <v>58</v>
      </c>
    </row>
    <row r="24" s="12" customFormat="1" ht="25" customHeight="1" spans="1:8">
      <c r="A24" s="35" t="s">
        <v>59</v>
      </c>
      <c r="B24" s="36" t="s">
        <v>60</v>
      </c>
      <c r="C24" s="55"/>
      <c r="D24" s="55"/>
      <c r="E24" s="55">
        <f>ROUND(F5*0.5%,2)</f>
        <v>14.83</v>
      </c>
      <c r="F24" s="78">
        <f t="shared" si="1"/>
        <v>14.83</v>
      </c>
      <c r="G24" s="79">
        <f t="shared" si="0"/>
        <v>0.00432806941254411</v>
      </c>
      <c r="H24" s="53" t="s">
        <v>61</v>
      </c>
    </row>
    <row r="25" s="12" customFormat="1" ht="25" customHeight="1" spans="1:8">
      <c r="A25" s="54" t="s">
        <v>62</v>
      </c>
      <c r="B25" s="36" t="s">
        <v>63</v>
      </c>
      <c r="C25" s="55"/>
      <c r="D25" s="81"/>
      <c r="E25" s="55">
        <v>5.63</v>
      </c>
      <c r="F25" s="78">
        <f t="shared" si="1"/>
        <v>5.63</v>
      </c>
      <c r="G25" s="79">
        <f t="shared" si="0"/>
        <v>0.00164309041083097</v>
      </c>
      <c r="H25" s="43"/>
    </row>
    <row r="26" s="12" customFormat="1" ht="25" customHeight="1" spans="1:8">
      <c r="A26" s="46" t="s">
        <v>64</v>
      </c>
      <c r="B26" s="47" t="s">
        <v>65</v>
      </c>
      <c r="C26" s="44"/>
      <c r="D26" s="94"/>
      <c r="E26" s="44">
        <f>E27+E28</f>
        <v>56.83</v>
      </c>
      <c r="F26" s="44">
        <f t="shared" si="1"/>
        <v>56.83</v>
      </c>
      <c r="G26" s="75">
        <f t="shared" si="0"/>
        <v>0.0165855822464519</v>
      </c>
      <c r="H26" s="83" t="s">
        <v>13</v>
      </c>
    </row>
    <row r="27" s="12" customFormat="1" ht="25" customHeight="1" spans="1:8">
      <c r="A27" s="51" t="s">
        <v>66</v>
      </c>
      <c r="B27" s="82" t="s">
        <v>67</v>
      </c>
      <c r="C27" s="55"/>
      <c r="D27" s="81"/>
      <c r="E27" s="55">
        <f>ROUND(20+(3354.9-1000)*1.5%,2)</f>
        <v>55.32</v>
      </c>
      <c r="F27" s="55">
        <f t="shared" si="1"/>
        <v>55.32</v>
      </c>
      <c r="G27" s="79">
        <f t="shared" ref="G27:G34" si="2">F27/$F$34</f>
        <v>0.0161448954755185</v>
      </c>
      <c r="H27" s="84" t="s">
        <v>68</v>
      </c>
    </row>
    <row r="28" s="12" customFormat="1" ht="25" customHeight="1" spans="1:8">
      <c r="A28" s="50" t="s">
        <v>32</v>
      </c>
      <c r="B28" s="36" t="s">
        <v>69</v>
      </c>
      <c r="C28" s="85"/>
      <c r="D28" s="86"/>
      <c r="E28" s="55">
        <f>ROUND(F5*0.17%*0.3,2)</f>
        <v>1.51</v>
      </c>
      <c r="F28" s="55">
        <f t="shared" si="1"/>
        <v>1.51</v>
      </c>
      <c r="G28" s="79">
        <f t="shared" si="2"/>
        <v>0.000440686770933351</v>
      </c>
      <c r="H28" s="87" t="s">
        <v>70</v>
      </c>
    </row>
    <row r="29" s="12" customFormat="1" ht="25" customHeight="1" spans="1:8">
      <c r="A29" s="46" t="s">
        <v>71</v>
      </c>
      <c r="B29" s="31" t="s">
        <v>72</v>
      </c>
      <c r="C29" s="88"/>
      <c r="D29" s="89"/>
      <c r="E29" s="44">
        <f>E30+E31</f>
        <v>23.73</v>
      </c>
      <c r="F29" s="44">
        <f t="shared" si="1"/>
        <v>23.73</v>
      </c>
      <c r="G29" s="75">
        <f t="shared" si="2"/>
        <v>0.0069254947511579</v>
      </c>
      <c r="H29" s="83" t="s">
        <v>13</v>
      </c>
    </row>
    <row r="30" s="12" customFormat="1" ht="25" customHeight="1" spans="1:8">
      <c r="A30" s="51" t="s">
        <v>66</v>
      </c>
      <c r="B30" s="36" t="s">
        <v>73</v>
      </c>
      <c r="C30" s="88"/>
      <c r="D30" s="89"/>
      <c r="E30" s="55">
        <f>ROUND(F5*0.5%,2)</f>
        <v>14.83</v>
      </c>
      <c r="F30" s="55">
        <f t="shared" si="1"/>
        <v>14.83</v>
      </c>
      <c r="G30" s="79">
        <f t="shared" si="2"/>
        <v>0.00432806941254411</v>
      </c>
      <c r="H30" s="53" t="s">
        <v>61</v>
      </c>
    </row>
    <row r="31" s="12" customFormat="1" ht="25" customHeight="1" spans="1:8">
      <c r="A31" s="51" t="s">
        <v>32</v>
      </c>
      <c r="B31" s="36" t="s">
        <v>74</v>
      </c>
      <c r="C31" s="88"/>
      <c r="D31" s="89"/>
      <c r="E31" s="55">
        <f>ROUND(F5*0.3%,2)</f>
        <v>8.9</v>
      </c>
      <c r="F31" s="55">
        <f t="shared" si="1"/>
        <v>8.9</v>
      </c>
      <c r="G31" s="79">
        <f t="shared" si="2"/>
        <v>0.00259742533861379</v>
      </c>
      <c r="H31" s="53" t="s">
        <v>75</v>
      </c>
    </row>
    <row r="32" s="12" customFormat="1" ht="25" customHeight="1" spans="1:8">
      <c r="A32" s="46" t="s">
        <v>76</v>
      </c>
      <c r="B32" s="31" t="s">
        <v>77</v>
      </c>
      <c r="C32" s="88"/>
      <c r="D32" s="89"/>
      <c r="E32" s="44">
        <f>E33</f>
        <v>163.17</v>
      </c>
      <c r="F32" s="44">
        <f t="shared" si="1"/>
        <v>163.17</v>
      </c>
      <c r="G32" s="75">
        <f t="shared" si="2"/>
        <v>0.0476204373597317</v>
      </c>
      <c r="H32" s="119" t="s">
        <v>66</v>
      </c>
    </row>
    <row r="33" s="12" customFormat="1" ht="25" customHeight="1" spans="1:8">
      <c r="A33" s="51">
        <v>1</v>
      </c>
      <c r="B33" s="36" t="s">
        <v>78</v>
      </c>
      <c r="C33" s="88"/>
      <c r="D33" s="89"/>
      <c r="E33" s="55">
        <f>ROUND((F5+F8)*5%,2)</f>
        <v>163.17</v>
      </c>
      <c r="F33" s="55">
        <f t="shared" si="1"/>
        <v>163.17</v>
      </c>
      <c r="G33" s="79">
        <f t="shared" si="2"/>
        <v>0.0476204373597317</v>
      </c>
      <c r="H33" s="84" t="s">
        <v>79</v>
      </c>
    </row>
    <row r="34" s="12" customFormat="1" ht="25" customHeight="1" spans="1:10">
      <c r="A34" s="46" t="s">
        <v>80</v>
      </c>
      <c r="B34" s="31" t="s">
        <v>81</v>
      </c>
      <c r="C34" s="88"/>
      <c r="D34" s="89"/>
      <c r="E34" s="55"/>
      <c r="F34" s="44">
        <f>F5+F8+F32</f>
        <v>3426.47</v>
      </c>
      <c r="G34" s="75">
        <f t="shared" si="2"/>
        <v>1</v>
      </c>
      <c r="H34" s="119" t="s">
        <v>82</v>
      </c>
      <c r="J34" s="122">
        <v>3354.9</v>
      </c>
    </row>
  </sheetData>
  <mergeCells count="7">
    <mergeCell ref="A1:H1"/>
    <mergeCell ref="A2:H2"/>
    <mergeCell ref="C3:F3"/>
    <mergeCell ref="A3:A4"/>
    <mergeCell ref="B3:B4"/>
    <mergeCell ref="G3:G4"/>
    <mergeCell ref="H3:H4"/>
  </mergeCells>
  <printOptions horizontalCentered="1"/>
  <pageMargins left="0.393055555555556" right="0.393055555555556" top="0.511805555555556" bottom="0.511805555555556" header="0.313888888888889" footer="0.313888888888889"/>
  <pageSetup paperSize="9" scale="86" orientation="portrait"/>
  <headerFooter>
    <oddFooter>&amp;C第 &amp;P 页，共 &amp;N 页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topLeftCell="A15" workbookViewId="0">
      <selection activeCell="C46" sqref="C46"/>
    </sheetView>
  </sheetViews>
  <sheetFormatPr defaultColWidth="9" defaultRowHeight="18.75" customHeight="1"/>
  <cols>
    <col min="1" max="1" width="7" style="12" customWidth="1"/>
    <col min="2" max="2" width="26.4" style="62" customWidth="1"/>
    <col min="3" max="3" width="9.5" style="63" customWidth="1"/>
    <col min="4" max="4" width="8.9" style="63" customWidth="1"/>
    <col min="5" max="5" width="8.8" style="63" customWidth="1"/>
    <col min="6" max="6" width="9.875" style="64" customWidth="1"/>
    <col min="7" max="7" width="9.25" style="63" customWidth="1"/>
    <col min="8" max="8" width="24.2" style="65" customWidth="1"/>
    <col min="9" max="16384" width="9" style="12"/>
  </cols>
  <sheetData>
    <row r="1" s="12" customFormat="1" ht="30" customHeight="1" spans="1:8">
      <c r="A1" s="66" t="s">
        <v>0</v>
      </c>
      <c r="B1" s="67"/>
      <c r="C1" s="66"/>
      <c r="D1" s="66"/>
      <c r="E1" s="66"/>
      <c r="F1" s="68"/>
      <c r="G1" s="66"/>
      <c r="H1" s="69"/>
    </row>
    <row r="2" s="12" customFormat="1" ht="30" customHeight="1" spans="1:8">
      <c r="A2" s="108" t="s">
        <v>83</v>
      </c>
      <c r="B2" s="108"/>
      <c r="C2" s="109"/>
      <c r="D2" s="109"/>
      <c r="E2" s="109"/>
      <c r="F2" s="110"/>
      <c r="G2" s="109"/>
      <c r="H2" s="111"/>
    </row>
    <row r="3" s="61" customFormat="1" ht="30" customHeight="1" spans="1:8">
      <c r="A3" s="71" t="s">
        <v>2</v>
      </c>
      <c r="B3" s="70" t="s">
        <v>3</v>
      </c>
      <c r="C3" s="71" t="s">
        <v>4</v>
      </c>
      <c r="D3" s="71"/>
      <c r="E3" s="71"/>
      <c r="F3" s="39"/>
      <c r="G3" s="71" t="s">
        <v>5</v>
      </c>
      <c r="H3" s="73" t="s">
        <v>6</v>
      </c>
    </row>
    <row r="4" s="61" customFormat="1" ht="41" customHeight="1" spans="1:8">
      <c r="A4" s="71"/>
      <c r="B4" s="70"/>
      <c r="C4" s="71" t="s">
        <v>7</v>
      </c>
      <c r="D4" s="71" t="s">
        <v>8</v>
      </c>
      <c r="E4" s="71" t="s">
        <v>9</v>
      </c>
      <c r="F4" s="39" t="s">
        <v>10</v>
      </c>
      <c r="G4" s="71"/>
      <c r="H4" s="73"/>
    </row>
    <row r="5" s="12" customFormat="1" ht="25" customHeight="1" spans="1:8">
      <c r="A5" s="112" t="s">
        <v>11</v>
      </c>
      <c r="B5" s="113" t="s">
        <v>12</v>
      </c>
      <c r="C5" s="114">
        <f>C6+C7+C8</f>
        <v>4750.99127</v>
      </c>
      <c r="D5" s="114">
        <f>D6+D7</f>
        <v>0</v>
      </c>
      <c r="E5" s="114"/>
      <c r="F5" s="114">
        <f t="shared" ref="F5:F8" si="0">C5+D5</f>
        <v>4750.99127</v>
      </c>
      <c r="G5" s="115">
        <f>F5/$F$43</f>
        <v>0.87216176569746</v>
      </c>
      <c r="H5" s="116" t="s">
        <v>13</v>
      </c>
    </row>
    <row r="6" s="12" customFormat="1" ht="38.25" spans="1:8">
      <c r="A6" s="35">
        <v>1</v>
      </c>
      <c r="B6" s="36" t="s">
        <v>84</v>
      </c>
      <c r="C6" s="77">
        <f>'总概算对比表（龙水片区）'!H6</f>
        <v>803.8612</v>
      </c>
      <c r="D6" s="77"/>
      <c r="E6" s="77"/>
      <c r="F6" s="78">
        <f t="shared" si="0"/>
        <v>803.8612</v>
      </c>
      <c r="G6" s="79">
        <f>F6/$F$43</f>
        <v>0.14756857331958</v>
      </c>
      <c r="H6" s="80"/>
    </row>
    <row r="7" s="12" customFormat="1" ht="38.25" spans="1:8">
      <c r="A7" s="35">
        <v>2</v>
      </c>
      <c r="B7" s="36" t="s">
        <v>85</v>
      </c>
      <c r="C7" s="77">
        <f>'总概算对比表（三驱片区）'!H7</f>
        <v>1019.32067</v>
      </c>
      <c r="D7" s="77"/>
      <c r="E7" s="77"/>
      <c r="F7" s="78">
        <f t="shared" si="0"/>
        <v>1019.32067</v>
      </c>
      <c r="G7" s="79">
        <f>F7/$F$43</f>
        <v>0.187121479463194</v>
      </c>
      <c r="H7" s="80"/>
    </row>
    <row r="8" s="12" customFormat="1" ht="38.25" spans="1:8">
      <c r="A8" s="35">
        <v>3</v>
      </c>
      <c r="B8" s="36" t="s">
        <v>86</v>
      </c>
      <c r="C8" s="77">
        <f>'总概算对比表（万古片区）'!H8</f>
        <v>2927.8094</v>
      </c>
      <c r="D8" s="77"/>
      <c r="E8" s="77"/>
      <c r="F8" s="78">
        <f t="shared" si="0"/>
        <v>2927.8094</v>
      </c>
      <c r="G8" s="79">
        <f>F8/$F$43</f>
        <v>0.537471712914686</v>
      </c>
      <c r="H8" s="80"/>
    </row>
    <row r="9" s="12" customFormat="1" ht="25" customHeight="1" spans="1:8">
      <c r="A9" s="30" t="s">
        <v>16</v>
      </c>
      <c r="B9" s="31" t="s">
        <v>17</v>
      </c>
      <c r="C9" s="77"/>
      <c r="D9" s="77"/>
      <c r="E9" s="117">
        <f>E10+E11+E33+E36</f>
        <v>436.9826655</v>
      </c>
      <c r="F9" s="74">
        <f>E9</f>
        <v>436.9826655</v>
      </c>
      <c r="G9" s="75">
        <f>F9/$F$43</f>
        <v>0.0802189588367024</v>
      </c>
      <c r="H9" s="76" t="s">
        <v>18</v>
      </c>
    </row>
    <row r="10" s="12" customFormat="1" ht="25" customHeight="1" spans="1:8">
      <c r="A10" s="30" t="s">
        <v>19</v>
      </c>
      <c r="B10" s="31" t="s">
        <v>20</v>
      </c>
      <c r="C10" s="117"/>
      <c r="D10" s="117"/>
      <c r="E10" s="117">
        <v>0</v>
      </c>
      <c r="F10" s="74">
        <f>C10+D10</f>
        <v>0</v>
      </c>
      <c r="G10" s="75">
        <f t="shared" ref="G10:G15" si="1">F10/$F$43</f>
        <v>0</v>
      </c>
      <c r="H10" s="76" t="s">
        <v>21</v>
      </c>
    </row>
    <row r="11" s="12" customFormat="1" ht="25" customHeight="1" spans="1:8">
      <c r="A11" s="30" t="s">
        <v>22</v>
      </c>
      <c r="B11" s="31" t="s">
        <v>23</v>
      </c>
      <c r="C11" s="117"/>
      <c r="D11" s="117"/>
      <c r="E11" s="117">
        <f>E12+E16+E17+E18+E19+E29+E30+E25+E26+E27+E28</f>
        <v>346.4754655</v>
      </c>
      <c r="F11" s="74">
        <f t="shared" ref="F11:F15" si="2">E11</f>
        <v>346.4754655</v>
      </c>
      <c r="G11" s="75">
        <f t="shared" si="1"/>
        <v>0.0636041273469504</v>
      </c>
      <c r="H11" s="76" t="s">
        <v>24</v>
      </c>
    </row>
    <row r="12" s="12" customFormat="1" ht="25" customHeight="1" spans="1:8">
      <c r="A12" s="35">
        <v>1</v>
      </c>
      <c r="B12" s="36" t="s">
        <v>25</v>
      </c>
      <c r="C12" s="77"/>
      <c r="D12" s="77"/>
      <c r="E12" s="77">
        <f>'总概算对比表（龙水片区）'!J12+'总概算对比表（三驱片区）'!J12+'总概算对比表（万古片区）'!J12</f>
        <v>26.5431</v>
      </c>
      <c r="F12" s="78">
        <f t="shared" si="2"/>
        <v>26.5431</v>
      </c>
      <c r="G12" s="79">
        <f t="shared" si="1"/>
        <v>0.0048726414441684</v>
      </c>
      <c r="H12" s="80"/>
    </row>
    <row r="13" s="12" customFormat="1" ht="25" customHeight="1" spans="1:8">
      <c r="A13" s="35" t="s">
        <v>26</v>
      </c>
      <c r="B13" s="36" t="s">
        <v>27</v>
      </c>
      <c r="C13" s="77"/>
      <c r="D13" s="77"/>
      <c r="E13" s="77">
        <f>'总概算对比表（龙水片区）'!J13+'总概算对比表（三驱片区）'!J13+'总概算对比表（万古片区）'!J13</f>
        <v>19.3545</v>
      </c>
      <c r="F13" s="78">
        <f t="shared" si="2"/>
        <v>19.3545</v>
      </c>
      <c r="G13" s="79">
        <f t="shared" si="1"/>
        <v>0.00355299640325197</v>
      </c>
      <c r="H13" s="80" t="s">
        <v>87</v>
      </c>
    </row>
    <row r="14" s="12" customFormat="1" ht="25" customHeight="1" spans="1:8">
      <c r="A14" s="35" t="s">
        <v>29</v>
      </c>
      <c r="B14" s="36" t="s">
        <v>30</v>
      </c>
      <c r="C14" s="77"/>
      <c r="D14" s="77"/>
      <c r="E14" s="77">
        <f>'总概算对比表（龙水片区）'!J14+'总概算对比表（三驱片区）'!J14+'总概算对比表（万古片区）'!J14</f>
        <v>0</v>
      </c>
      <c r="F14" s="78">
        <f t="shared" si="2"/>
        <v>0</v>
      </c>
      <c r="G14" s="79">
        <f t="shared" si="1"/>
        <v>0</v>
      </c>
      <c r="H14" s="80" t="s">
        <v>31</v>
      </c>
    </row>
    <row r="15" s="12" customFormat="1" ht="25" customHeight="1" spans="1:8">
      <c r="A15" s="51" t="s">
        <v>88</v>
      </c>
      <c r="B15" s="36" t="s">
        <v>89</v>
      </c>
      <c r="C15" s="77"/>
      <c r="D15" s="77"/>
      <c r="E15" s="77">
        <f>'总概算对比表（龙水片区）'!J15+'总概算对比表（三驱片区）'!J15+'总概算对比表（万古片区）'!J15</f>
        <v>7.1886</v>
      </c>
      <c r="F15" s="78">
        <f t="shared" si="2"/>
        <v>7.1886</v>
      </c>
      <c r="G15" s="79">
        <f t="shared" si="1"/>
        <v>0.00131964504091643</v>
      </c>
      <c r="H15" s="80" t="s">
        <v>87</v>
      </c>
    </row>
    <row r="16" s="12" customFormat="1" ht="25" customHeight="1" spans="1:8">
      <c r="A16" s="35" t="s">
        <v>32</v>
      </c>
      <c r="B16" s="36" t="s">
        <v>33</v>
      </c>
      <c r="C16" s="77"/>
      <c r="D16" s="77"/>
      <c r="E16" s="77">
        <f>'总概算对比表（龙水片区）'!J16+'总概算对比表（三驱片区）'!J16+'总概算对比表（万古片区）'!J16</f>
        <v>131.1411</v>
      </c>
      <c r="F16" s="78">
        <f t="shared" ref="F16:F35" si="3">E16</f>
        <v>131.1411</v>
      </c>
      <c r="G16" s="79">
        <f t="shared" ref="G16:G36" si="4">F16/$F$43</f>
        <v>0.0240741872235659</v>
      </c>
      <c r="H16" s="80" t="s">
        <v>34</v>
      </c>
    </row>
    <row r="17" s="12" customFormat="1" ht="25" customHeight="1" spans="1:8">
      <c r="A17" s="35" t="s">
        <v>35</v>
      </c>
      <c r="B17" s="36" t="s">
        <v>36</v>
      </c>
      <c r="C17" s="77"/>
      <c r="D17" s="77"/>
      <c r="E17" s="77">
        <f>'总概算对比表（龙水片区）'!J17+'总概算对比表（三驱片区）'!J17+'总概算对比表（万古片区）'!J17</f>
        <v>5.1671</v>
      </c>
      <c r="F17" s="78">
        <f t="shared" si="3"/>
        <v>5.1671</v>
      </c>
      <c r="G17" s="79">
        <f t="shared" si="4"/>
        <v>0.000948548798224869</v>
      </c>
      <c r="H17" s="80" t="s">
        <v>37</v>
      </c>
    </row>
    <row r="18" s="12" customFormat="1" ht="25" customHeight="1" spans="1:8">
      <c r="A18" s="35" t="s">
        <v>38</v>
      </c>
      <c r="B18" s="36" t="s">
        <v>39</v>
      </c>
      <c r="C18" s="77"/>
      <c r="D18" s="77"/>
      <c r="E18" s="77">
        <f>'总概算对比表（龙水片区）'!J18+'总概算对比表（三驱片区）'!J18+'总概算对比表（万古片区）'!J18</f>
        <v>12.1492</v>
      </c>
      <c r="F18" s="78">
        <f t="shared" si="3"/>
        <v>12.1492</v>
      </c>
      <c r="G18" s="79">
        <f t="shared" si="4"/>
        <v>0.00223028566495589</v>
      </c>
      <c r="H18" s="80" t="s">
        <v>90</v>
      </c>
    </row>
    <row r="19" s="12" customFormat="1" ht="25" customHeight="1" spans="1:8">
      <c r="A19" s="35" t="s">
        <v>41</v>
      </c>
      <c r="B19" s="36" t="s">
        <v>42</v>
      </c>
      <c r="C19" s="77"/>
      <c r="D19" s="77"/>
      <c r="E19" s="77">
        <f>'总概算对比表（龙水片区）'!J19+'总概算对比表（三驱片区）'!J19+'总概算对比表（万古片区）'!J19</f>
        <v>44.4806</v>
      </c>
      <c r="F19" s="78">
        <f t="shared" si="3"/>
        <v>44.4806</v>
      </c>
      <c r="G19" s="79">
        <f t="shared" si="4"/>
        <v>0.00816551250688415</v>
      </c>
      <c r="H19" s="80" t="s">
        <v>43</v>
      </c>
    </row>
    <row r="20" s="12" customFormat="1" ht="25" customHeight="1" spans="1:8">
      <c r="A20" s="51" t="s">
        <v>44</v>
      </c>
      <c r="B20" s="118" t="s">
        <v>45</v>
      </c>
      <c r="C20" s="77"/>
      <c r="D20" s="77"/>
      <c r="E20" s="77">
        <f>'总概算对比表（龙水片区）'!J20+'总概算对比表（三驱片区）'!J20+'总概算对比表（万古片区）'!J20</f>
        <v>3.9497</v>
      </c>
      <c r="F20" s="78">
        <f t="shared" si="3"/>
        <v>3.9497</v>
      </c>
      <c r="G20" s="79">
        <f t="shared" si="4"/>
        <v>0.000725064966489668</v>
      </c>
      <c r="H20" s="80" t="s">
        <v>31</v>
      </c>
    </row>
    <row r="21" s="12" customFormat="1" ht="25" customHeight="1" spans="1:8">
      <c r="A21" s="51" t="s">
        <v>46</v>
      </c>
      <c r="B21" s="118" t="s">
        <v>47</v>
      </c>
      <c r="C21" s="77"/>
      <c r="D21" s="77"/>
      <c r="E21" s="77">
        <f>'总概算对比表（龙水片区）'!J21+'总概算对比表（三驱片区）'!J21+'总概算对比表（万古片区）'!J21</f>
        <v>9.86675</v>
      </c>
      <c r="F21" s="78">
        <f t="shared" si="3"/>
        <v>9.86675</v>
      </c>
      <c r="G21" s="79">
        <f t="shared" si="4"/>
        <v>0.00181128560602373</v>
      </c>
      <c r="H21" s="80" t="s">
        <v>48</v>
      </c>
    </row>
    <row r="22" s="12" customFormat="1" ht="25" customHeight="1" spans="1:8">
      <c r="A22" s="51" t="s">
        <v>49</v>
      </c>
      <c r="B22" s="118" t="s">
        <v>50</v>
      </c>
      <c r="C22" s="77"/>
      <c r="D22" s="77"/>
      <c r="E22" s="77">
        <f>'总概算对比表（龙水片区）'!J22+'总概算对比表（三驱片区）'!J22+'总概算对比表（万古片区）'!J22</f>
        <v>7.96115</v>
      </c>
      <c r="F22" s="78">
        <f t="shared" si="3"/>
        <v>7.96115</v>
      </c>
      <c r="G22" s="79">
        <f t="shared" si="4"/>
        <v>0.00146146567029628</v>
      </c>
      <c r="H22" s="80" t="s">
        <v>48</v>
      </c>
    </row>
    <row r="23" s="12" customFormat="1" ht="25" customHeight="1" spans="1:8">
      <c r="A23" s="51" t="s">
        <v>51</v>
      </c>
      <c r="B23" s="36" t="s">
        <v>91</v>
      </c>
      <c r="C23" s="77"/>
      <c r="D23" s="77"/>
      <c r="E23" s="77">
        <f>'总概算对比表（龙水片区）'!J23+'总概算对比表（三驱片区）'!J23+'总概算对比表（万古片区）'!J23</f>
        <v>17.1912</v>
      </c>
      <c r="F23" s="78">
        <f t="shared" si="3"/>
        <v>17.1912</v>
      </c>
      <c r="G23" s="79">
        <f t="shared" si="4"/>
        <v>0.00315586926903744</v>
      </c>
      <c r="H23" s="80" t="s">
        <v>48</v>
      </c>
    </row>
    <row r="24" s="12" customFormat="1" ht="25" customHeight="1" spans="1:8">
      <c r="A24" s="51" t="s">
        <v>92</v>
      </c>
      <c r="B24" s="36" t="s">
        <v>52</v>
      </c>
      <c r="C24" s="77"/>
      <c r="D24" s="77"/>
      <c r="E24" s="77">
        <f>'总概算对比表（龙水片区）'!J24+'总概算对比表（三驱片区）'!J24+'总概算对比表（万古片区）'!J24</f>
        <v>5.5118</v>
      </c>
      <c r="F24" s="78">
        <f t="shared" si="3"/>
        <v>5.5118</v>
      </c>
      <c r="G24" s="79">
        <f t="shared" si="4"/>
        <v>0.00101182699503703</v>
      </c>
      <c r="H24" s="80" t="s">
        <v>48</v>
      </c>
    </row>
    <row r="25" s="12" customFormat="1" ht="25" customHeight="1" spans="1:8">
      <c r="A25" s="35" t="s">
        <v>53</v>
      </c>
      <c r="B25" s="36" t="s">
        <v>54</v>
      </c>
      <c r="C25" s="77"/>
      <c r="D25" s="77"/>
      <c r="E25" s="77"/>
      <c r="F25" s="78"/>
      <c r="G25" s="79"/>
      <c r="H25" s="80"/>
    </row>
    <row r="26" s="12" customFormat="1" ht="25" customHeight="1" spans="1:8">
      <c r="A26" s="35" t="s">
        <v>56</v>
      </c>
      <c r="B26" s="36" t="s">
        <v>57</v>
      </c>
      <c r="C26" s="77"/>
      <c r="D26" s="77"/>
      <c r="E26" s="77">
        <f>'总概算对比表（龙水片区）'!J26+'总概算对比表（三驱片区）'!J26+'总概算对比表（万古片区）'!J26</f>
        <v>111.3137</v>
      </c>
      <c r="F26" s="78">
        <f>E26</f>
        <v>111.3137</v>
      </c>
      <c r="G26" s="79">
        <f>F26/$F$43</f>
        <v>0.0204343783478089</v>
      </c>
      <c r="H26" s="80" t="s">
        <v>93</v>
      </c>
    </row>
    <row r="27" s="12" customFormat="1" ht="25" customHeight="1" spans="1:8">
      <c r="A27" s="35" t="s">
        <v>59</v>
      </c>
      <c r="B27" s="36" t="s">
        <v>60</v>
      </c>
      <c r="C27" s="55"/>
      <c r="D27" s="55"/>
      <c r="E27" s="77">
        <f>'总概算对比表（龙水片区）'!J27+'总概算对比表（三驱片区）'!J27+'总概算对比表（万古片区）'!J27</f>
        <v>5.0966</v>
      </c>
      <c r="F27" s="78">
        <f>E27</f>
        <v>5.0966</v>
      </c>
      <c r="G27" s="79">
        <f>F27/$F$43</f>
        <v>0.000935606782340746</v>
      </c>
      <c r="H27" s="80" t="s">
        <v>61</v>
      </c>
    </row>
    <row r="28" s="12" customFormat="1" ht="25" customHeight="1" spans="1:9">
      <c r="A28" s="54" t="s">
        <v>62</v>
      </c>
      <c r="B28" s="36" t="s">
        <v>63</v>
      </c>
      <c r="C28" s="55"/>
      <c r="D28" s="81"/>
      <c r="E28" s="77"/>
      <c r="F28" s="78"/>
      <c r="G28" s="79"/>
      <c r="H28" s="80"/>
      <c r="I28" s="120"/>
    </row>
    <row r="29" s="12" customFormat="1" ht="25" customHeight="1" spans="1:9">
      <c r="A29" s="51" t="s">
        <v>94</v>
      </c>
      <c r="B29" s="36" t="s">
        <v>95</v>
      </c>
      <c r="C29" s="37"/>
      <c r="D29" s="38"/>
      <c r="E29" s="77">
        <f>'总概算对比表（龙水片区）'!J29+'总概算对比表（三驱片区）'!J29+'总概算对比表（万古片区）'!J29</f>
        <v>9.6835</v>
      </c>
      <c r="F29" s="78">
        <f t="shared" ref="F29:F35" si="5">E29</f>
        <v>9.6835</v>
      </c>
      <c r="G29" s="79">
        <f t="shared" ref="G29:G35" si="6">F29/$F$43</f>
        <v>0.00177764554345968</v>
      </c>
      <c r="H29" s="80" t="s">
        <v>96</v>
      </c>
      <c r="I29" s="121"/>
    </row>
    <row r="30" s="12" customFormat="1" ht="25" customHeight="1" spans="1:9">
      <c r="A30" s="51" t="s">
        <v>97</v>
      </c>
      <c r="B30" s="36" t="s">
        <v>98</v>
      </c>
      <c r="C30" s="37"/>
      <c r="D30" s="38"/>
      <c r="E30" s="77">
        <f>'总概算对比表（龙水片区）'!J30+'总概算对比表（三驱片区）'!J30+'总概算对比表（万古片区）'!J30</f>
        <v>0.9005655</v>
      </c>
      <c r="F30" s="78">
        <f t="shared" si="5"/>
        <v>0.9005655</v>
      </c>
      <c r="G30" s="79">
        <f t="shared" si="6"/>
        <v>0.00016532103554175</v>
      </c>
      <c r="H30" s="80"/>
      <c r="I30" s="121"/>
    </row>
    <row r="31" s="12" customFormat="1" ht="25" customHeight="1" spans="1:9">
      <c r="A31" s="51" t="s">
        <v>99</v>
      </c>
      <c r="B31" s="36" t="s">
        <v>100</v>
      </c>
      <c r="C31" s="37"/>
      <c r="D31" s="38"/>
      <c r="E31" s="77">
        <f>'总概算对比表（龙水片区）'!J31+'总概算对比表（三驱片区）'!J31+'总概算对比表（万古片区）'!J31</f>
        <v>0.58101</v>
      </c>
      <c r="F31" s="78">
        <f t="shared" si="5"/>
        <v>0.58101</v>
      </c>
      <c r="G31" s="79">
        <f t="shared" si="6"/>
        <v>0.000106658732607581</v>
      </c>
      <c r="H31" s="80" t="s">
        <v>101</v>
      </c>
      <c r="I31" s="121"/>
    </row>
    <row r="32" s="12" customFormat="1" ht="25" customHeight="1" spans="1:9">
      <c r="A32" s="51" t="s">
        <v>102</v>
      </c>
      <c r="B32" s="36" t="s">
        <v>103</v>
      </c>
      <c r="C32" s="37"/>
      <c r="D32" s="38"/>
      <c r="E32" s="77">
        <f>'总概算对比表（龙水片区）'!J32+'总概算对比表（三驱片区）'!J32+'总概算对比表（万古片区）'!J32</f>
        <v>0.3195555</v>
      </c>
      <c r="F32" s="78">
        <f t="shared" si="5"/>
        <v>0.3195555</v>
      </c>
      <c r="G32" s="79">
        <f t="shared" si="6"/>
        <v>5.86623029341695e-5</v>
      </c>
      <c r="H32" s="80" t="s">
        <v>104</v>
      </c>
      <c r="I32" s="121"/>
    </row>
    <row r="33" s="12" customFormat="1" ht="25" customHeight="1" spans="1:8">
      <c r="A33" s="46" t="s">
        <v>64</v>
      </c>
      <c r="B33" s="47" t="s">
        <v>65</v>
      </c>
      <c r="C33" s="44"/>
      <c r="D33" s="94"/>
      <c r="E33" s="44">
        <f>E34+E35</f>
        <v>71.1578</v>
      </c>
      <c r="F33" s="44">
        <f t="shared" si="5"/>
        <v>71.1578</v>
      </c>
      <c r="G33" s="75">
        <f t="shared" si="6"/>
        <v>0.0130627713174364</v>
      </c>
      <c r="H33" s="80" t="s">
        <v>13</v>
      </c>
    </row>
    <row r="34" s="12" customFormat="1" ht="25" customHeight="1" spans="1:8">
      <c r="A34" s="51" t="s">
        <v>66</v>
      </c>
      <c r="B34" s="82" t="s">
        <v>67</v>
      </c>
      <c r="C34" s="55"/>
      <c r="D34" s="81"/>
      <c r="E34" s="77">
        <f>'总概算对比表（龙水片区）'!J34+'总概算对比表（三驱片区）'!J34+'总概算对比表（万古片区）'!J34</f>
        <v>65.5041</v>
      </c>
      <c r="F34" s="55">
        <f t="shared" si="5"/>
        <v>65.5041</v>
      </c>
      <c r="G34" s="79">
        <f t="shared" si="6"/>
        <v>0.0120248950734071</v>
      </c>
      <c r="H34" s="80" t="s">
        <v>105</v>
      </c>
    </row>
    <row r="35" s="12" customFormat="1" ht="25" customHeight="1" spans="1:8">
      <c r="A35" s="50" t="s">
        <v>32</v>
      </c>
      <c r="B35" s="36" t="s">
        <v>69</v>
      </c>
      <c r="C35" s="85"/>
      <c r="D35" s="86"/>
      <c r="E35" s="77">
        <f>'总概算对比表（龙水片区）'!J35+'总概算对比表（三驱片区）'!J35+'总概算对比表（万古片区）'!J35</f>
        <v>5.6537</v>
      </c>
      <c r="F35" s="55">
        <f t="shared" si="5"/>
        <v>5.6537</v>
      </c>
      <c r="G35" s="79">
        <f t="shared" si="6"/>
        <v>0.00103787624402933</v>
      </c>
      <c r="H35" s="80" t="s">
        <v>106</v>
      </c>
    </row>
    <row r="36" s="12" customFormat="1" ht="25" customHeight="1" spans="1:8">
      <c r="A36" s="46" t="s">
        <v>71</v>
      </c>
      <c r="B36" s="31" t="s">
        <v>72</v>
      </c>
      <c r="C36" s="88"/>
      <c r="D36" s="89"/>
      <c r="E36" s="44">
        <f>E37+E38</f>
        <v>19.3494</v>
      </c>
      <c r="F36" s="44">
        <f t="shared" ref="F36:F42" si="7">E36</f>
        <v>19.3494</v>
      </c>
      <c r="G36" s="75">
        <f t="shared" ref="G36:G43" si="8">F36/$F$43</f>
        <v>0.00355206017231567</v>
      </c>
      <c r="H36" s="80" t="s">
        <v>13</v>
      </c>
    </row>
    <row r="37" s="12" customFormat="1" ht="25" customHeight="1" spans="1:8">
      <c r="A37" s="51" t="s">
        <v>66</v>
      </c>
      <c r="B37" s="36" t="s">
        <v>73</v>
      </c>
      <c r="C37" s="88"/>
      <c r="D37" s="89"/>
      <c r="E37" s="77">
        <f>'总概算对比表（龙水片区）'!J37+'总概算对比表（三驱片区）'!J37+'总概算对比表（万古片区）'!J37</f>
        <v>5.0966</v>
      </c>
      <c r="F37" s="55">
        <f t="shared" si="7"/>
        <v>5.0966</v>
      </c>
      <c r="G37" s="79">
        <f t="shared" si="8"/>
        <v>0.000935606782340746</v>
      </c>
      <c r="H37" s="80" t="s">
        <v>61</v>
      </c>
    </row>
    <row r="38" s="12" customFormat="1" ht="25" customHeight="1" spans="1:8">
      <c r="A38" s="51" t="s">
        <v>32</v>
      </c>
      <c r="B38" s="36" t="s">
        <v>74</v>
      </c>
      <c r="C38" s="88"/>
      <c r="D38" s="89"/>
      <c r="E38" s="77">
        <f>'总概算对比表（龙水片区）'!J38+'总概算对比表（三驱片区）'!J38+'总概算对比表（万古片区）'!J38</f>
        <v>14.2528</v>
      </c>
      <c r="F38" s="55">
        <f t="shared" si="7"/>
        <v>14.2528</v>
      </c>
      <c r="G38" s="79">
        <f t="shared" si="8"/>
        <v>0.00261645338997492</v>
      </c>
      <c r="H38" s="80" t="s">
        <v>75</v>
      </c>
    </row>
    <row r="39" s="12" customFormat="1" ht="25" customHeight="1" spans="1:8">
      <c r="A39" s="46" t="s">
        <v>76</v>
      </c>
      <c r="B39" s="31" t="s">
        <v>77</v>
      </c>
      <c r="C39" s="88"/>
      <c r="D39" s="89"/>
      <c r="E39" s="44">
        <f>E40</f>
        <v>259.4</v>
      </c>
      <c r="F39" s="44">
        <f t="shared" si="7"/>
        <v>259.4</v>
      </c>
      <c r="G39" s="75">
        <f t="shared" si="8"/>
        <v>0.0476192754658379</v>
      </c>
      <c r="H39" s="80" t="s">
        <v>66</v>
      </c>
    </row>
    <row r="40" s="12" customFormat="1" ht="25" customHeight="1" spans="1:8">
      <c r="A40" s="51">
        <v>1</v>
      </c>
      <c r="B40" s="36" t="s">
        <v>78</v>
      </c>
      <c r="C40" s="88"/>
      <c r="D40" s="89"/>
      <c r="E40" s="77">
        <f>'总概算对比表（龙水片区）'!J40+'总概算对比表（三驱片区）'!J40+'总概算对比表（万古片区）'!J40</f>
        <v>259.4</v>
      </c>
      <c r="F40" s="55">
        <f t="shared" si="7"/>
        <v>259.4</v>
      </c>
      <c r="G40" s="79">
        <f t="shared" si="8"/>
        <v>0.0476192754658379</v>
      </c>
      <c r="H40" s="80" t="s">
        <v>79</v>
      </c>
    </row>
    <row r="41" s="12" customFormat="1" ht="25" customHeight="1" spans="1:8">
      <c r="A41" s="42" t="s">
        <v>80</v>
      </c>
      <c r="B41" s="31" t="s">
        <v>107</v>
      </c>
      <c r="C41" s="88"/>
      <c r="D41" s="89"/>
      <c r="E41" s="44">
        <f>E42</f>
        <v>0</v>
      </c>
      <c r="F41" s="44">
        <f t="shared" si="7"/>
        <v>0</v>
      </c>
      <c r="G41" s="75">
        <f t="shared" si="8"/>
        <v>0</v>
      </c>
      <c r="H41" s="84" t="s">
        <v>66</v>
      </c>
    </row>
    <row r="42" s="12" customFormat="1" ht="25" customHeight="1" spans="1:8">
      <c r="A42" s="54">
        <v>1</v>
      </c>
      <c r="B42" s="36" t="s">
        <v>107</v>
      </c>
      <c r="C42" s="88"/>
      <c r="D42" s="89"/>
      <c r="E42" s="77">
        <f>'总概算对比表（龙水片区）'!J42+'总概算对比表（三驱片区）'!J42+'总概算对比表（万古片区）'!J42</f>
        <v>0</v>
      </c>
      <c r="F42" s="55">
        <f t="shared" si="7"/>
        <v>0</v>
      </c>
      <c r="G42" s="79">
        <f t="shared" si="8"/>
        <v>0</v>
      </c>
      <c r="H42" s="84"/>
    </row>
    <row r="43" s="12" customFormat="1" ht="25" customHeight="1" spans="1:8">
      <c r="A43" s="46" t="s">
        <v>108</v>
      </c>
      <c r="B43" s="31" t="s">
        <v>81</v>
      </c>
      <c r="C43" s="88"/>
      <c r="D43" s="89"/>
      <c r="E43" s="55"/>
      <c r="F43" s="44">
        <f>F5+F9+F41+F39</f>
        <v>5447.3739355</v>
      </c>
      <c r="G43" s="75">
        <f t="shared" si="8"/>
        <v>1</v>
      </c>
      <c r="H43" s="119" t="s">
        <v>82</v>
      </c>
    </row>
  </sheetData>
  <mergeCells count="7">
    <mergeCell ref="A1:H1"/>
    <mergeCell ref="A2:H2"/>
    <mergeCell ref="C3:F3"/>
    <mergeCell ref="A3:A4"/>
    <mergeCell ref="B3:B4"/>
    <mergeCell ref="G3:G4"/>
    <mergeCell ref="H3:H4"/>
  </mergeCells>
  <pageMargins left="0.75" right="0.75" top="1" bottom="1" header="0.5" footer="0.5"/>
  <headerFooter/>
  <ignoredErrors>
    <ignoredError sqref="A13:A38 H39" numberStoredAsText="1"/>
    <ignoredError sqref="C5:C8 F5:F8 D5 E9:E42 F9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1"/>
  <sheetViews>
    <sheetView view="pageBreakPreview" zoomScaleNormal="100" workbookViewId="0">
      <pane ySplit="4" topLeftCell="A5" activePane="bottomLeft" state="frozen"/>
      <selection/>
      <selection pane="bottomLeft" activeCell="N1" sqref="N$1:N$1048576"/>
    </sheetView>
  </sheetViews>
  <sheetFormatPr defaultColWidth="9" defaultRowHeight="18.75" customHeight="1"/>
  <cols>
    <col min="1" max="1" width="6.9" style="14" customWidth="1"/>
    <col min="2" max="2" width="28.25" style="15" customWidth="1"/>
    <col min="3" max="3" width="7.25" style="16" customWidth="1"/>
    <col min="4" max="4" width="9.5" style="16" customWidth="1"/>
    <col min="5" max="5" width="9.2" style="16" customWidth="1"/>
    <col min="6" max="6" width="9.2" style="17" customWidth="1"/>
    <col min="7" max="8" width="9.5" style="18" customWidth="1"/>
    <col min="9" max="10" width="9.2" style="18" customWidth="1"/>
    <col min="11" max="11" width="9.5" style="18" customWidth="1"/>
    <col min="12" max="12" width="8.5" style="18" customWidth="1"/>
    <col min="13" max="13" width="15.7" style="16" customWidth="1"/>
    <col min="14" max="14" width="14.2583333333333" style="12" customWidth="1"/>
    <col min="15" max="15" width="14.2" style="12" customWidth="1"/>
    <col min="16" max="16383" width="9" style="12"/>
  </cols>
  <sheetData>
    <row r="1" s="12" customFormat="1" ht="28.5" customHeight="1" spans="1:13">
      <c r="A1" s="19" t="s">
        <v>109</v>
      </c>
      <c r="B1" s="20"/>
      <c r="C1" s="19"/>
      <c r="D1" s="19"/>
      <c r="E1" s="19"/>
      <c r="F1" s="21"/>
      <c r="G1" s="19"/>
      <c r="H1" s="19"/>
      <c r="I1" s="19"/>
      <c r="J1" s="19"/>
      <c r="K1" s="19"/>
      <c r="L1" s="19"/>
      <c r="M1" s="19"/>
    </row>
    <row r="2" s="12" customFormat="1" ht="24.75" customHeight="1" spans="1:13">
      <c r="A2" s="22" t="s">
        <v>110</v>
      </c>
      <c r="B2" s="22"/>
      <c r="C2" s="23"/>
      <c r="D2" s="23"/>
      <c r="E2" s="23"/>
      <c r="F2" s="24"/>
      <c r="G2" s="23"/>
      <c r="H2" s="23"/>
      <c r="I2" s="23"/>
      <c r="J2" s="23"/>
      <c r="K2" s="23"/>
      <c r="L2" s="23"/>
      <c r="M2" s="23"/>
    </row>
    <row r="3" s="12" customFormat="1" ht="20" customHeight="1" spans="1:13">
      <c r="A3" s="25" t="s">
        <v>2</v>
      </c>
      <c r="B3" s="26" t="s">
        <v>3</v>
      </c>
      <c r="C3" s="27" t="s">
        <v>111</v>
      </c>
      <c r="D3" s="28" t="s">
        <v>112</v>
      </c>
      <c r="E3" s="28"/>
      <c r="F3" s="28"/>
      <c r="G3" s="28"/>
      <c r="H3" s="28" t="s">
        <v>113</v>
      </c>
      <c r="I3" s="28"/>
      <c r="J3" s="28"/>
      <c r="K3" s="28"/>
      <c r="L3" s="28" t="s">
        <v>114</v>
      </c>
      <c r="M3" s="57" t="s">
        <v>6</v>
      </c>
    </row>
    <row r="4" s="12" customFormat="1" ht="32" customHeight="1" spans="1:13">
      <c r="A4" s="25"/>
      <c r="B4" s="26"/>
      <c r="C4" s="27"/>
      <c r="D4" s="27" t="s">
        <v>115</v>
      </c>
      <c r="E4" s="27" t="s">
        <v>8</v>
      </c>
      <c r="F4" s="29" t="s">
        <v>9</v>
      </c>
      <c r="G4" s="28" t="s">
        <v>10</v>
      </c>
      <c r="H4" s="27" t="s">
        <v>115</v>
      </c>
      <c r="I4" s="27" t="s">
        <v>8</v>
      </c>
      <c r="J4" s="29" t="s">
        <v>9</v>
      </c>
      <c r="K4" s="28" t="s">
        <v>10</v>
      </c>
      <c r="L4" s="28"/>
      <c r="M4" s="57"/>
    </row>
    <row r="5" s="13" customFormat="1" ht="25" customHeight="1" spans="1:14">
      <c r="A5" s="30" t="s">
        <v>11</v>
      </c>
      <c r="B5" s="31" t="s">
        <v>12</v>
      </c>
      <c r="C5" s="32" t="s">
        <v>116</v>
      </c>
      <c r="D5" s="33">
        <f t="shared" ref="D5:H5" si="0">D6+D7</f>
        <v>920.1248</v>
      </c>
      <c r="E5" s="33">
        <f t="shared" si="0"/>
        <v>0</v>
      </c>
      <c r="F5" s="34"/>
      <c r="G5" s="34">
        <f>D5+E5</f>
        <v>920.1248</v>
      </c>
      <c r="H5" s="33">
        <f>H6+H7</f>
        <v>803.8612</v>
      </c>
      <c r="I5" s="33">
        <f>I6+I7</f>
        <v>0</v>
      </c>
      <c r="J5" s="34"/>
      <c r="K5" s="34">
        <f>H5+I5</f>
        <v>803.8612</v>
      </c>
      <c r="L5" s="34">
        <f>K5-G5</f>
        <v>-116.2636</v>
      </c>
      <c r="M5" s="58"/>
      <c r="N5" s="59"/>
    </row>
    <row r="6" s="13" customFormat="1" ht="22.5" spans="1:14">
      <c r="A6" s="35">
        <v>1</v>
      </c>
      <c r="B6" s="97" t="s">
        <v>84</v>
      </c>
      <c r="C6" s="37" t="s">
        <v>116</v>
      </c>
      <c r="D6" s="38">
        <f>9201248/10000</f>
        <v>920.1248</v>
      </c>
      <c r="E6" s="38"/>
      <c r="F6" s="34"/>
      <c r="G6" s="39">
        <f>D6+E6</f>
        <v>920.1248</v>
      </c>
      <c r="H6" s="39">
        <v>803.8612</v>
      </c>
      <c r="I6" s="39"/>
      <c r="J6" s="39"/>
      <c r="K6" s="39">
        <f>H6+I6</f>
        <v>803.8612</v>
      </c>
      <c r="L6" s="39">
        <f>K6-G6</f>
        <v>-116.2636</v>
      </c>
      <c r="M6" s="58"/>
      <c r="N6" s="59" t="str">
        <f>IF(L6&lt;0,B6&amp;"送审金额为"&amp;G6&amp;C6&amp;"，审定金额为"&amp;K6&amp;C6&amp;"，审减金额为"&amp;-L6&amp;"。主要原因是"&amp;M6&amp;"。",IF(L6&gt;0,B6&amp;"送审金额为"&amp;G6&amp;C6&amp;"，审定金额为"&amp;K6&amp;C6&amp;"，审增金额为"&amp;L6&amp;"万元。主要原因是"&amp;M6&amp;"。",""""))</f>
        <v>重庆市大足区2023年万古镇、三驱镇及龙水镇老旧小区基础配套工程（龙水片区）送审金额为920.1248万元，审定金额为803.8612万元，审减金额为116.2636。主要原因是。</v>
      </c>
    </row>
    <row r="7" s="13" customFormat="1" ht="22.5" spans="1:14">
      <c r="A7" s="35">
        <v>2</v>
      </c>
      <c r="B7" s="97" t="s">
        <v>85</v>
      </c>
      <c r="C7" s="37" t="s">
        <v>116</v>
      </c>
      <c r="D7" s="40"/>
      <c r="E7" s="38"/>
      <c r="F7" s="34"/>
      <c r="G7" s="39"/>
      <c r="H7" s="39"/>
      <c r="I7" s="39"/>
      <c r="J7" s="39"/>
      <c r="K7" s="39"/>
      <c r="L7" s="39"/>
      <c r="M7" s="58"/>
      <c r="N7" s="59" t="str">
        <f>IF(L7&lt;0,B7&amp;"送审金额为"&amp;G7&amp;C7&amp;"，审定金额为"&amp;K7&amp;C7&amp;"，审减金额为"&amp;-L7&amp;"万元。主要原因是"&amp;M7&amp;"。",IF(L7&gt;0,B7&amp;"送审金额为"&amp;G7&amp;C7&amp;"，审定金额为"&amp;K7&amp;C7&amp;"，审增金额为"&amp;L7&amp;"万元。主要原因是"&amp;M7&amp;"。",""""))</f>
        <v>"</v>
      </c>
    </row>
    <row r="8" s="13" customFormat="1" ht="22.5" spans="1:14">
      <c r="A8" s="35">
        <v>3</v>
      </c>
      <c r="B8" s="97" t="s">
        <v>86</v>
      </c>
      <c r="C8" s="37" t="s">
        <v>116</v>
      </c>
      <c r="D8" s="40"/>
      <c r="E8" s="38"/>
      <c r="F8" s="34"/>
      <c r="G8" s="39"/>
      <c r="H8" s="39"/>
      <c r="I8" s="39"/>
      <c r="J8" s="39"/>
      <c r="K8" s="39"/>
      <c r="L8" s="39"/>
      <c r="M8" s="58"/>
      <c r="N8" s="59"/>
    </row>
    <row r="9" s="13" customFormat="1" ht="25" customHeight="1" spans="1:13">
      <c r="A9" s="42" t="s">
        <v>16</v>
      </c>
      <c r="B9" s="31" t="s">
        <v>17</v>
      </c>
      <c r="C9" s="32" t="s">
        <v>116</v>
      </c>
      <c r="D9" s="43"/>
      <c r="E9" s="43"/>
      <c r="F9" s="44">
        <f>F10+F11+F33+F36</f>
        <v>85.688244</v>
      </c>
      <c r="G9" s="45">
        <f>F9</f>
        <v>85.688244</v>
      </c>
      <c r="H9" s="34"/>
      <c r="I9" s="34"/>
      <c r="J9" s="44">
        <f>J10+J11+J33+J36</f>
        <v>78.92478</v>
      </c>
      <c r="K9" s="45">
        <f>J9</f>
        <v>78.92478</v>
      </c>
      <c r="L9" s="34">
        <f>K9-G9</f>
        <v>-6.76346399999998</v>
      </c>
      <c r="M9" s="58"/>
    </row>
    <row r="10" s="13" customFormat="1" ht="25" customHeight="1" spans="1:13">
      <c r="A10" s="46" t="s">
        <v>19</v>
      </c>
      <c r="B10" s="47" t="s">
        <v>20</v>
      </c>
      <c r="C10" s="32" t="s">
        <v>116</v>
      </c>
      <c r="D10" s="38"/>
      <c r="E10" s="48"/>
      <c r="F10" s="49">
        <v>0</v>
      </c>
      <c r="G10" s="33">
        <f t="shared" ref="G10:G24" si="1">F10</f>
        <v>0</v>
      </c>
      <c r="H10" s="34"/>
      <c r="I10" s="34"/>
      <c r="J10" s="49">
        <v>0</v>
      </c>
      <c r="K10" s="33">
        <f t="shared" ref="K10:K21" si="2">J10</f>
        <v>0</v>
      </c>
      <c r="L10" s="34">
        <f>K10-G10</f>
        <v>0</v>
      </c>
      <c r="M10" s="58"/>
    </row>
    <row r="11" s="12" customFormat="1" ht="25" customHeight="1" spans="1:14">
      <c r="A11" s="46" t="s">
        <v>22</v>
      </c>
      <c r="B11" s="47" t="s">
        <v>23</v>
      </c>
      <c r="C11" s="32" t="s">
        <v>116</v>
      </c>
      <c r="D11" s="38"/>
      <c r="E11" s="38"/>
      <c r="F11" s="49">
        <f>F12+F16+F17+F18+F19+F25+F26+F27+F28</f>
        <v>67.11102</v>
      </c>
      <c r="G11" s="33">
        <f t="shared" si="1"/>
        <v>67.11102</v>
      </c>
      <c r="H11" s="39"/>
      <c r="I11" s="39"/>
      <c r="J11" s="49">
        <f>J12+J16+J17+J18+J19+J25+J26+J27+J28</f>
        <v>64.30258</v>
      </c>
      <c r="K11" s="33">
        <f t="shared" si="2"/>
        <v>64.30258</v>
      </c>
      <c r="L11" s="34">
        <f t="shared" ref="L11:L15" si="3">ROUND(K11-G11,2)</f>
        <v>-2.81</v>
      </c>
      <c r="M11" s="58"/>
      <c r="N11" s="59"/>
    </row>
    <row r="12" s="12" customFormat="1" ht="25" customHeight="1" spans="1:14">
      <c r="A12" s="50">
        <v>1</v>
      </c>
      <c r="B12" s="36" t="s">
        <v>117</v>
      </c>
      <c r="C12" s="37" t="s">
        <v>116</v>
      </c>
      <c r="D12" s="38"/>
      <c r="E12" s="38"/>
      <c r="F12" s="38">
        <f>F13+F14+F15</f>
        <v>6.4803</v>
      </c>
      <c r="G12" s="40">
        <f t="shared" si="1"/>
        <v>6.4803</v>
      </c>
      <c r="H12" s="39"/>
      <c r="I12" s="39"/>
      <c r="J12" s="38">
        <f>J13+J14+J15</f>
        <v>6.4985</v>
      </c>
      <c r="K12" s="56">
        <f t="shared" si="2"/>
        <v>6.4985</v>
      </c>
      <c r="L12" s="39">
        <f t="shared" si="3"/>
        <v>0.02</v>
      </c>
      <c r="M12" s="60"/>
      <c r="N12" s="59" t="str">
        <f t="shared" ref="N12:N18" si="4">IF(L12&lt;0,B12&amp;"送审金额为"&amp;G12&amp;C12&amp;"，审定金额为"&amp;K12&amp;C12&amp;"，审减金额为"&amp;-L12&amp;"。主要原因是"&amp;M12&amp;"。",IF(L12&gt;0,B12&amp;"送审金额为"&amp;G12&amp;C12&amp;"，审定金额为"&amp;K12&amp;C12&amp;"，审增金额为"&amp;L12&amp;"万元。主要原因是"&amp;M12&amp;"。",""""))</f>
        <v>前期工作咨询费送审金额为6.4803万元，审定金额为6.4985万元，审增金额为0.02万元。主要原因是。</v>
      </c>
    </row>
    <row r="13" s="12" customFormat="1" ht="25" customHeight="1" spans="1:14">
      <c r="A13" s="51" t="s">
        <v>26</v>
      </c>
      <c r="B13" s="36" t="s">
        <v>118</v>
      </c>
      <c r="C13" s="37" t="s">
        <v>116</v>
      </c>
      <c r="D13" s="38"/>
      <c r="E13" s="38"/>
      <c r="F13" s="38">
        <v>4.4382</v>
      </c>
      <c r="G13" s="40">
        <f t="shared" si="1"/>
        <v>4.4382</v>
      </c>
      <c r="H13" s="39"/>
      <c r="I13" s="39"/>
      <c r="J13" s="56">
        <v>4.452</v>
      </c>
      <c r="K13" s="56">
        <f t="shared" si="2"/>
        <v>4.452</v>
      </c>
      <c r="L13" s="39">
        <f t="shared" si="3"/>
        <v>0.01</v>
      </c>
      <c r="M13" s="60" t="s">
        <v>119</v>
      </c>
      <c r="N13" s="59" t="str">
        <f t="shared" si="4"/>
        <v>编制可行性研究报告送审金额为4.4382万元，审定金额为4.452万元，审增金额为0.01万元。主要原因是取费基数的减少。</v>
      </c>
    </row>
    <row r="14" s="12" customFormat="1" ht="25" customHeight="1" spans="1:14">
      <c r="A14" s="51" t="s">
        <v>29</v>
      </c>
      <c r="B14" s="93" t="s">
        <v>30</v>
      </c>
      <c r="C14" s="37" t="s">
        <v>116</v>
      </c>
      <c r="D14" s="38"/>
      <c r="E14" s="38"/>
      <c r="F14" s="38"/>
      <c r="G14" s="40"/>
      <c r="H14" s="39"/>
      <c r="I14" s="39"/>
      <c r="J14" s="56"/>
      <c r="K14" s="56"/>
      <c r="L14" s="39"/>
      <c r="M14" s="60"/>
      <c r="N14" s="59" t="str">
        <f t="shared" si="4"/>
        <v>"</v>
      </c>
    </row>
    <row r="15" s="12" customFormat="1" ht="25" customHeight="1" spans="1:14">
      <c r="A15" s="51" t="s">
        <v>88</v>
      </c>
      <c r="B15" s="93" t="s">
        <v>89</v>
      </c>
      <c r="C15" s="37" t="s">
        <v>116</v>
      </c>
      <c r="D15" s="38"/>
      <c r="E15" s="38"/>
      <c r="F15" s="38">
        <v>2.0421</v>
      </c>
      <c r="G15" s="40">
        <f t="shared" si="1"/>
        <v>2.0421</v>
      </c>
      <c r="H15" s="39"/>
      <c r="I15" s="39"/>
      <c r="J15" s="56">
        <v>2.0465</v>
      </c>
      <c r="K15" s="56">
        <f t="shared" si="2"/>
        <v>2.0465</v>
      </c>
      <c r="L15" s="39">
        <f t="shared" si="3"/>
        <v>0</v>
      </c>
      <c r="M15" s="60" t="s">
        <v>31</v>
      </c>
      <c r="N15" s="59" t="str">
        <f t="shared" si="4"/>
        <v>"</v>
      </c>
    </row>
    <row r="16" s="12" customFormat="1" ht="25" customHeight="1" spans="1:14">
      <c r="A16" s="51" t="s">
        <v>32</v>
      </c>
      <c r="B16" s="36" t="s">
        <v>120</v>
      </c>
      <c r="C16" s="37" t="s">
        <v>116</v>
      </c>
      <c r="D16" s="38"/>
      <c r="E16" s="38"/>
      <c r="F16" s="38">
        <v>22.8002</v>
      </c>
      <c r="G16" s="40">
        <f t="shared" si="1"/>
        <v>22.8002</v>
      </c>
      <c r="H16" s="39"/>
      <c r="I16" s="39"/>
      <c r="J16" s="56">
        <v>23.1388</v>
      </c>
      <c r="K16" s="56">
        <f t="shared" si="2"/>
        <v>23.1388</v>
      </c>
      <c r="L16" s="39">
        <f t="shared" ref="L16:L28" si="5">ROUND(K16-G16,2)</f>
        <v>0.34</v>
      </c>
      <c r="M16" s="60" t="s">
        <v>119</v>
      </c>
      <c r="N16" s="59" t="str">
        <f t="shared" si="4"/>
        <v>工程设计费送审金额为22.8002万元，审定金额为23.1388万元，审增金额为0.34万元。主要原因是取费基数的减少。</v>
      </c>
    </row>
    <row r="17" s="12" customFormat="1" ht="25" customHeight="1" spans="1:14">
      <c r="A17" s="51" t="s">
        <v>35</v>
      </c>
      <c r="B17" s="93" t="s">
        <v>36</v>
      </c>
      <c r="C17" s="37" t="s">
        <v>116</v>
      </c>
      <c r="D17" s="38"/>
      <c r="E17" s="38"/>
      <c r="F17" s="52">
        <v>2.28002</v>
      </c>
      <c r="G17" s="40">
        <f t="shared" si="1"/>
        <v>2.28002</v>
      </c>
      <c r="H17" s="39"/>
      <c r="I17" s="39"/>
      <c r="J17" s="56">
        <f>J16*0.1</f>
        <v>2.31388</v>
      </c>
      <c r="K17" s="56">
        <f t="shared" si="2"/>
        <v>2.31388</v>
      </c>
      <c r="L17" s="39">
        <f t="shared" si="5"/>
        <v>0.03</v>
      </c>
      <c r="M17" s="60" t="s">
        <v>121</v>
      </c>
      <c r="N17" s="59" t="str">
        <f t="shared" si="4"/>
        <v>施工图审查费送审金额为2.28002万元，审定金额为2.31388万元，审增金额为0.03万元。主要原因是取费基数、费率的调整。</v>
      </c>
    </row>
    <row r="18" s="12" customFormat="1" ht="25" customHeight="1" spans="1:14">
      <c r="A18" s="51" t="s">
        <v>38</v>
      </c>
      <c r="B18" s="36" t="s">
        <v>122</v>
      </c>
      <c r="C18" s="37" t="s">
        <v>116</v>
      </c>
      <c r="D18" s="38"/>
      <c r="E18" s="38"/>
      <c r="F18" s="38">
        <v>2.9247</v>
      </c>
      <c r="G18" s="40">
        <f t="shared" si="1"/>
        <v>2.9247</v>
      </c>
      <c r="H18" s="39"/>
      <c r="I18" s="39"/>
      <c r="J18" s="56">
        <v>2.6716</v>
      </c>
      <c r="K18" s="56">
        <f t="shared" si="2"/>
        <v>2.6716</v>
      </c>
      <c r="L18" s="39">
        <f t="shared" si="5"/>
        <v>-0.25</v>
      </c>
      <c r="M18" s="60" t="s">
        <v>123</v>
      </c>
      <c r="N18" s="59" t="str">
        <f t="shared" si="4"/>
        <v>招标代理服务费送审金额为2.9247万元，审定金额为2.6716万元，审减金额为0.25。主要原因是取费费率的调整。</v>
      </c>
    </row>
    <row r="19" s="12" customFormat="1" ht="25" customHeight="1" spans="1:14">
      <c r="A19" s="51" t="s">
        <v>41</v>
      </c>
      <c r="B19" s="36" t="s">
        <v>124</v>
      </c>
      <c r="C19" s="37" t="s">
        <v>116</v>
      </c>
      <c r="D19" s="38"/>
      <c r="E19" s="38"/>
      <c r="F19" s="38">
        <f>F20+F21+F22+F24+F23</f>
        <v>12.5735</v>
      </c>
      <c r="G19" s="40">
        <f t="shared" si="1"/>
        <v>12.5735</v>
      </c>
      <c r="H19" s="39"/>
      <c r="I19" s="39"/>
      <c r="J19" s="56">
        <f>J20+J21+J22+J24+J23</f>
        <v>11.1086</v>
      </c>
      <c r="K19" s="56">
        <f t="shared" si="2"/>
        <v>11.1086</v>
      </c>
      <c r="L19" s="39">
        <f t="shared" si="5"/>
        <v>-1.46</v>
      </c>
      <c r="M19" s="60"/>
      <c r="N19" s="59" t="str">
        <f t="shared" ref="N19:N43" si="6">IF(L19&lt;0,B19&amp;"送审金额为"&amp;G19&amp;C19&amp;"，审定金额为"&amp;K19&amp;C19&amp;"，审减金额为"&amp;-L19&amp;"。主要原因是"&amp;M19&amp;"。",IF(L19&gt;0,B19&amp;"送审金额为"&amp;G19&amp;C19&amp;"，审定金额为"&amp;K19&amp;C19&amp;"，审增金额为"&amp;L19&amp;"万元。主要原因是"&amp;M19&amp;"。",""""))</f>
        <v>工程造价咨询服务费送审金额为12.5735万元，审定金额为11.1086万元，审减金额为1.46。主要原因是。</v>
      </c>
    </row>
    <row r="20" s="12" customFormat="1" ht="25" customHeight="1" spans="1:14">
      <c r="A20" s="51" t="s">
        <v>44</v>
      </c>
      <c r="B20" s="36" t="s">
        <v>125</v>
      </c>
      <c r="C20" s="37" t="s">
        <v>116</v>
      </c>
      <c r="D20" s="38"/>
      <c r="E20" s="38"/>
      <c r="F20" s="38">
        <v>0.8079</v>
      </c>
      <c r="G20" s="40">
        <f t="shared" si="1"/>
        <v>0.8079</v>
      </c>
      <c r="H20" s="39"/>
      <c r="I20" s="39"/>
      <c r="J20" s="56">
        <v>0.7102</v>
      </c>
      <c r="K20" s="56">
        <f t="shared" si="2"/>
        <v>0.7102</v>
      </c>
      <c r="L20" s="39">
        <f t="shared" si="5"/>
        <v>-0.1</v>
      </c>
      <c r="M20" s="60"/>
      <c r="N20" s="59" t="str">
        <f t="shared" si="6"/>
        <v>概算审查费送审金额为0.8079万元，审定金额为0.7102万元，审减金额为0.1。主要原因是。</v>
      </c>
    </row>
    <row r="21" s="12" customFormat="1" ht="25" customHeight="1" spans="1:14">
      <c r="A21" s="51" t="s">
        <v>46</v>
      </c>
      <c r="B21" s="36" t="s">
        <v>126</v>
      </c>
      <c r="C21" s="37" t="s">
        <v>116</v>
      </c>
      <c r="D21" s="38"/>
      <c r="E21" s="38"/>
      <c r="F21" s="38">
        <v>2.1661</v>
      </c>
      <c r="G21" s="40">
        <f t="shared" si="1"/>
        <v>2.1661</v>
      </c>
      <c r="H21" s="39"/>
      <c r="I21" s="39"/>
      <c r="J21" s="56">
        <v>1.9056</v>
      </c>
      <c r="K21" s="56">
        <f t="shared" si="2"/>
        <v>1.9056</v>
      </c>
      <c r="L21" s="39">
        <f t="shared" si="5"/>
        <v>-0.26</v>
      </c>
      <c r="M21" s="60" t="s">
        <v>121</v>
      </c>
      <c r="N21" s="59" t="str">
        <f t="shared" si="6"/>
        <v>工程量清单及组价编制费送审金额为2.1661万元，审定金额为1.9056万元，审减金额为0.26。主要原因是取费基数、费率的调整。</v>
      </c>
    </row>
    <row r="22" s="12" customFormat="1" ht="25" customHeight="1" spans="1:14">
      <c r="A22" s="51" t="s">
        <v>49</v>
      </c>
      <c r="B22" s="36" t="s">
        <v>127</v>
      </c>
      <c r="C22" s="37" t="s">
        <v>116</v>
      </c>
      <c r="D22" s="38"/>
      <c r="E22" s="38"/>
      <c r="F22" s="38"/>
      <c r="G22" s="40"/>
      <c r="H22" s="39"/>
      <c r="I22" s="39"/>
      <c r="J22" s="56"/>
      <c r="K22" s="56"/>
      <c r="L22" s="39"/>
      <c r="M22" s="60"/>
      <c r="N22" s="59" t="str">
        <f t="shared" si="6"/>
        <v>"</v>
      </c>
    </row>
    <row r="23" s="12" customFormat="1" ht="25" customHeight="1" spans="1:14">
      <c r="A23" s="51" t="s">
        <v>51</v>
      </c>
      <c r="B23" s="36" t="s">
        <v>91</v>
      </c>
      <c r="C23" s="37" t="s">
        <v>116</v>
      </c>
      <c r="D23" s="103"/>
      <c r="E23" s="103"/>
      <c r="F23" s="38">
        <v>3.3716</v>
      </c>
      <c r="G23" s="40">
        <f t="shared" si="1"/>
        <v>3.3716</v>
      </c>
      <c r="H23" s="103"/>
      <c r="I23" s="103"/>
      <c r="J23" s="106">
        <v>2.981</v>
      </c>
      <c r="K23" s="56">
        <f>J23</f>
        <v>2.981</v>
      </c>
      <c r="L23" s="105">
        <f>ROUND(K23-G23,2)</f>
        <v>-0.39</v>
      </c>
      <c r="M23" s="60" t="s">
        <v>121</v>
      </c>
      <c r="N23" s="59" t="str">
        <f t="shared" si="6"/>
        <v>结算审核费送审金额为3.3716万元，审定金额为2.981万元，审减金额为0.39。主要原因是取费基数、费率的调整。</v>
      </c>
    </row>
    <row r="24" s="12" customFormat="1" ht="25" customHeight="1" spans="1:14">
      <c r="A24" s="51" t="s">
        <v>92</v>
      </c>
      <c r="B24" s="97" t="s">
        <v>52</v>
      </c>
      <c r="C24" s="37" t="s">
        <v>116</v>
      </c>
      <c r="D24" s="52"/>
      <c r="E24" s="52"/>
      <c r="F24" s="52">
        <v>6.2279</v>
      </c>
      <c r="G24" s="104">
        <f t="shared" si="1"/>
        <v>6.2279</v>
      </c>
      <c r="H24" s="105"/>
      <c r="I24" s="105"/>
      <c r="J24" s="106">
        <v>5.5118</v>
      </c>
      <c r="K24" s="56">
        <f>J24</f>
        <v>5.5118</v>
      </c>
      <c r="L24" s="105">
        <f>ROUND(K24-G24,2)</f>
        <v>-0.72</v>
      </c>
      <c r="M24" s="107" t="s">
        <v>121</v>
      </c>
      <c r="N24" s="59" t="str">
        <f t="shared" si="6"/>
        <v>工程量清单施工阶段工程造价全过程控制送审金额为6.2279万元，审定金额为5.5118万元，审减金额为0.72。主要原因是取费基数、费率的调整。</v>
      </c>
    </row>
    <row r="25" s="12" customFormat="1" ht="25" customHeight="1" spans="1:14">
      <c r="A25" s="51" t="s">
        <v>53</v>
      </c>
      <c r="B25" s="36" t="s">
        <v>128</v>
      </c>
      <c r="C25" s="37" t="s">
        <v>116</v>
      </c>
      <c r="D25" s="52"/>
      <c r="E25" s="52"/>
      <c r="F25" s="52"/>
      <c r="G25" s="40"/>
      <c r="H25" s="39"/>
      <c r="I25" s="39"/>
      <c r="J25" s="56"/>
      <c r="K25" s="56"/>
      <c r="L25" s="39"/>
      <c r="M25" s="60"/>
      <c r="N25" s="59" t="str">
        <f t="shared" si="6"/>
        <v>"</v>
      </c>
    </row>
    <row r="26" s="12" customFormat="1" ht="25" customHeight="1" spans="1:14">
      <c r="A26" s="51" t="s">
        <v>56</v>
      </c>
      <c r="B26" s="36" t="s">
        <v>129</v>
      </c>
      <c r="C26" s="37" t="s">
        <v>116</v>
      </c>
      <c r="D26" s="38"/>
      <c r="E26" s="38"/>
      <c r="F26" s="38">
        <v>20.0523</v>
      </c>
      <c r="G26" s="40">
        <f>F26</f>
        <v>20.0523</v>
      </c>
      <c r="H26" s="39"/>
      <c r="I26" s="39"/>
      <c r="J26" s="56">
        <v>18.5712</v>
      </c>
      <c r="K26" s="56">
        <f>J26</f>
        <v>18.5712</v>
      </c>
      <c r="L26" s="39">
        <f>ROUND(K26-G26,2)</f>
        <v>-1.48</v>
      </c>
      <c r="M26" s="60" t="s">
        <v>121</v>
      </c>
      <c r="N26" s="59" t="str">
        <f t="shared" si="6"/>
        <v>工程建设监理费送审金额为20.0523万元，审定金额为18.5712万元，审减金额为1.48。主要原因是取费基数、费率的调整。</v>
      </c>
    </row>
    <row r="27" s="12" customFormat="1" ht="25" customHeight="1" spans="1:14">
      <c r="A27" s="51" t="s">
        <v>59</v>
      </c>
      <c r="B27" s="36" t="s">
        <v>130</v>
      </c>
      <c r="C27" s="37" t="s">
        <v>116</v>
      </c>
      <c r="D27" s="38"/>
      <c r="E27" s="38"/>
      <c r="F27" s="38"/>
      <c r="G27" s="40"/>
      <c r="H27" s="39"/>
      <c r="I27" s="39"/>
      <c r="J27" s="56"/>
      <c r="K27" s="56"/>
      <c r="L27" s="39"/>
      <c r="M27" s="60"/>
      <c r="N27" s="59" t="str">
        <f t="shared" si="6"/>
        <v>"</v>
      </c>
    </row>
    <row r="28" s="12" customFormat="1" ht="25" customHeight="1" spans="1:14">
      <c r="A28" s="51" t="s">
        <v>62</v>
      </c>
      <c r="B28" s="36" t="s">
        <v>131</v>
      </c>
      <c r="C28" s="37" t="s">
        <v>116</v>
      </c>
      <c r="D28" s="38"/>
      <c r="E28" s="38"/>
      <c r="F28" s="38"/>
      <c r="G28" s="40"/>
      <c r="H28" s="39"/>
      <c r="I28" s="39"/>
      <c r="J28" s="56"/>
      <c r="K28" s="56"/>
      <c r="L28" s="39"/>
      <c r="M28" s="60"/>
      <c r="N28" s="59" t="str">
        <f t="shared" si="6"/>
        <v>"</v>
      </c>
    </row>
    <row r="29" s="12" customFormat="1" ht="25" customHeight="1" spans="1:14">
      <c r="A29" s="51" t="s">
        <v>94</v>
      </c>
      <c r="B29" s="36" t="s">
        <v>95</v>
      </c>
      <c r="C29" s="37" t="s">
        <v>116</v>
      </c>
      <c r="D29" s="38"/>
      <c r="E29" s="38"/>
      <c r="F29" s="38"/>
      <c r="G29" s="40"/>
      <c r="H29" s="39"/>
      <c r="I29" s="39"/>
      <c r="J29" s="98"/>
      <c r="K29" s="56"/>
      <c r="L29" s="39"/>
      <c r="M29" s="60"/>
      <c r="N29" s="59" t="str">
        <f t="shared" si="6"/>
        <v>"</v>
      </c>
    </row>
    <row r="30" s="12" customFormat="1" ht="25" customHeight="1" spans="1:14">
      <c r="A30" s="51" t="s">
        <v>97</v>
      </c>
      <c r="B30" s="36" t="s">
        <v>98</v>
      </c>
      <c r="C30" s="37" t="s">
        <v>116</v>
      </c>
      <c r="D30" s="38"/>
      <c r="E30" s="38"/>
      <c r="F30" s="38"/>
      <c r="G30" s="40"/>
      <c r="H30" s="39"/>
      <c r="I30" s="39"/>
      <c r="J30" s="38"/>
      <c r="K30" s="56"/>
      <c r="L30" s="39"/>
      <c r="M30" s="60"/>
      <c r="N30" s="59" t="str">
        <f t="shared" si="6"/>
        <v>"</v>
      </c>
    </row>
    <row r="31" s="12" customFormat="1" ht="25" customHeight="1" spans="1:14">
      <c r="A31" s="51" t="s">
        <v>99</v>
      </c>
      <c r="B31" s="36" t="s">
        <v>100</v>
      </c>
      <c r="C31" s="37" t="s">
        <v>116</v>
      </c>
      <c r="D31" s="38"/>
      <c r="E31" s="38"/>
      <c r="F31" s="38"/>
      <c r="G31" s="40"/>
      <c r="H31" s="39"/>
      <c r="I31" s="39"/>
      <c r="J31" s="38"/>
      <c r="K31" s="56"/>
      <c r="L31" s="39"/>
      <c r="M31" s="60"/>
      <c r="N31" s="59" t="str">
        <f t="shared" si="6"/>
        <v>"</v>
      </c>
    </row>
    <row r="32" s="12" customFormat="1" ht="25" customHeight="1" spans="1:14">
      <c r="A32" s="51" t="s">
        <v>102</v>
      </c>
      <c r="B32" s="36" t="s">
        <v>103</v>
      </c>
      <c r="C32" s="37" t="s">
        <v>116</v>
      </c>
      <c r="D32" s="38"/>
      <c r="E32" s="38"/>
      <c r="F32" s="38"/>
      <c r="G32" s="40"/>
      <c r="H32" s="39"/>
      <c r="I32" s="39"/>
      <c r="J32" s="38"/>
      <c r="K32" s="56"/>
      <c r="L32" s="39"/>
      <c r="M32" s="60"/>
      <c r="N32" s="59" t="str">
        <f t="shared" si="6"/>
        <v>"</v>
      </c>
    </row>
    <row r="33" s="12" customFormat="1" ht="25" customHeight="1" spans="1:14">
      <c r="A33" s="46" t="s">
        <v>64</v>
      </c>
      <c r="B33" s="31" t="s">
        <v>132</v>
      </c>
      <c r="C33" s="32" t="s">
        <v>116</v>
      </c>
      <c r="D33" s="38"/>
      <c r="E33" s="38"/>
      <c r="F33" s="49">
        <f>F34+F35</f>
        <v>13.9766</v>
      </c>
      <c r="G33" s="33">
        <f t="shared" ref="G33:G42" si="7">F33</f>
        <v>13.9766</v>
      </c>
      <c r="H33" s="39"/>
      <c r="I33" s="39"/>
      <c r="J33" s="49">
        <f>J34+J35</f>
        <v>12.2107</v>
      </c>
      <c r="K33" s="33">
        <f t="shared" ref="K33:K35" si="8">J33</f>
        <v>12.2107</v>
      </c>
      <c r="L33" s="34">
        <f>ROUND(K33-G33,2)</f>
        <v>-1.77</v>
      </c>
      <c r="M33" s="60"/>
      <c r="N33" s="59" t="str">
        <f t="shared" si="6"/>
        <v>工程建设管理费送审金额为13.9766万元，审定金额为12.2107万元，审减金额为1.77。主要原因是。</v>
      </c>
    </row>
    <row r="34" s="12" customFormat="1" ht="25" customHeight="1" spans="1:14">
      <c r="A34" s="51" t="s">
        <v>66</v>
      </c>
      <c r="B34" s="36" t="s">
        <v>133</v>
      </c>
      <c r="C34" s="37" t="s">
        <v>116</v>
      </c>
      <c r="D34" s="38"/>
      <c r="E34" s="38"/>
      <c r="F34" s="38">
        <v>12.8817</v>
      </c>
      <c r="G34" s="40">
        <f t="shared" si="7"/>
        <v>12.8817</v>
      </c>
      <c r="H34" s="39"/>
      <c r="I34" s="39"/>
      <c r="J34" s="56">
        <v>11.2541</v>
      </c>
      <c r="K34" s="56">
        <f t="shared" si="8"/>
        <v>11.2541</v>
      </c>
      <c r="L34" s="39">
        <f t="shared" ref="L34:L38" si="9">ROUND(K34-G34,2)</f>
        <v>-1.63</v>
      </c>
      <c r="M34" s="60" t="s">
        <v>121</v>
      </c>
      <c r="N34" s="59" t="str">
        <f t="shared" si="6"/>
        <v>项目建设管理费送审金额为12.8817万元，审定金额为11.2541万元，审减金额为1.63。主要原因是取费基数、费率的调整。</v>
      </c>
    </row>
    <row r="35" s="12" customFormat="1" ht="25" customHeight="1" spans="1:14">
      <c r="A35" s="51" t="s">
        <v>32</v>
      </c>
      <c r="B35" s="36" t="s">
        <v>134</v>
      </c>
      <c r="C35" s="37" t="s">
        <v>116</v>
      </c>
      <c r="D35" s="38"/>
      <c r="E35" s="38"/>
      <c r="F35" s="38">
        <v>1.0949</v>
      </c>
      <c r="G35" s="40">
        <f t="shared" si="7"/>
        <v>1.0949</v>
      </c>
      <c r="H35" s="39"/>
      <c r="I35" s="39"/>
      <c r="J35" s="56">
        <v>0.9566</v>
      </c>
      <c r="K35" s="56">
        <f t="shared" si="8"/>
        <v>0.9566</v>
      </c>
      <c r="L35" s="39">
        <f t="shared" si="9"/>
        <v>-0.14</v>
      </c>
      <c r="M35" s="60" t="s">
        <v>121</v>
      </c>
      <c r="N35" s="59" t="str">
        <f t="shared" si="6"/>
        <v>建设工程招标投标交易服务费送审金额为1.0949万元，审定金额为0.9566万元，审减金额为0.14。主要原因是取费基数、费率的调整。</v>
      </c>
    </row>
    <row r="36" s="12" customFormat="1" ht="25" customHeight="1" spans="1:14">
      <c r="A36" s="46" t="s">
        <v>71</v>
      </c>
      <c r="B36" s="31" t="s">
        <v>135</v>
      </c>
      <c r="C36" s="32" t="s">
        <v>116</v>
      </c>
      <c r="D36" s="38"/>
      <c r="E36" s="38"/>
      <c r="F36" s="49">
        <f>F37+F38</f>
        <v>4.600624</v>
      </c>
      <c r="G36" s="33">
        <f t="shared" si="7"/>
        <v>4.600624</v>
      </c>
      <c r="H36" s="39"/>
      <c r="I36" s="39"/>
      <c r="J36" s="49">
        <f>J37+J38</f>
        <v>2.4115</v>
      </c>
      <c r="K36" s="33">
        <f t="shared" ref="K36:K42" si="10">J36</f>
        <v>2.4115</v>
      </c>
      <c r="L36" s="34">
        <f t="shared" si="9"/>
        <v>-2.19</v>
      </c>
      <c r="M36" s="60"/>
      <c r="N36" s="59" t="str">
        <f t="shared" si="6"/>
        <v>其它费用送审金额为4.600624万元，审定金额为2.4115万元，审减金额为2.19。主要原因是。</v>
      </c>
    </row>
    <row r="37" s="12" customFormat="1" ht="25" customHeight="1" spans="1:14">
      <c r="A37" s="51" t="s">
        <v>66</v>
      </c>
      <c r="B37" s="36" t="s">
        <v>136</v>
      </c>
      <c r="C37" s="37" t="s">
        <v>116</v>
      </c>
      <c r="D37" s="38"/>
      <c r="E37" s="38"/>
      <c r="F37" s="38"/>
      <c r="G37" s="40"/>
      <c r="H37" s="39"/>
      <c r="I37" s="39"/>
      <c r="J37" s="56"/>
      <c r="K37" s="56"/>
      <c r="L37" s="39"/>
      <c r="M37" s="60"/>
      <c r="N37" s="59" t="str">
        <f t="shared" si="6"/>
        <v>"</v>
      </c>
    </row>
    <row r="38" s="12" customFormat="1" ht="25" customHeight="1" spans="1:14">
      <c r="A38" s="51" t="s">
        <v>32</v>
      </c>
      <c r="B38" s="36" t="s">
        <v>137</v>
      </c>
      <c r="C38" s="37" t="s">
        <v>116</v>
      </c>
      <c r="D38" s="38"/>
      <c r="E38" s="38"/>
      <c r="F38" s="38">
        <v>4.600624</v>
      </c>
      <c r="G38" s="40">
        <f t="shared" si="7"/>
        <v>4.600624</v>
      </c>
      <c r="H38" s="39"/>
      <c r="I38" s="39"/>
      <c r="J38" s="38">
        <v>2.4115</v>
      </c>
      <c r="K38" s="40">
        <f>J38</f>
        <v>2.4115</v>
      </c>
      <c r="L38" s="39">
        <f t="shared" si="9"/>
        <v>-2.19</v>
      </c>
      <c r="M38" s="60" t="s">
        <v>121</v>
      </c>
      <c r="N38" s="59" t="str">
        <f t="shared" si="6"/>
        <v>工程保险费送审金额为4.600624万元，审定金额为2.4115万元，审减金额为2.19。主要原因是取费基数、费率的调整。</v>
      </c>
    </row>
    <row r="39" s="12" customFormat="1" ht="25" customHeight="1" spans="1:14">
      <c r="A39" s="42" t="s">
        <v>76</v>
      </c>
      <c r="B39" s="31" t="s">
        <v>77</v>
      </c>
      <c r="C39" s="37" t="s">
        <v>116</v>
      </c>
      <c r="D39" s="53"/>
      <c r="E39" s="53"/>
      <c r="F39" s="44">
        <f>F40</f>
        <v>44.26</v>
      </c>
      <c r="G39" s="45">
        <f t="shared" si="7"/>
        <v>44.26</v>
      </c>
      <c r="H39" s="39"/>
      <c r="I39" s="39"/>
      <c r="J39" s="44">
        <f>J40</f>
        <v>44.14</v>
      </c>
      <c r="K39" s="45">
        <f t="shared" si="10"/>
        <v>44.14</v>
      </c>
      <c r="L39" s="39">
        <f t="shared" ref="L39:L43" si="11">ROUND(K39-G39,2)</f>
        <v>-0.12</v>
      </c>
      <c r="M39" s="58"/>
      <c r="N39" s="59" t="str">
        <f t="shared" si="6"/>
        <v>预备费用送审金额为44.26万元，审定金额为44.14万元，审减金额为0.12。主要原因是。</v>
      </c>
    </row>
    <row r="40" s="12" customFormat="1" ht="25" customHeight="1" spans="1:14">
      <c r="A40" s="54">
        <v>1</v>
      </c>
      <c r="B40" s="36" t="s">
        <v>78</v>
      </c>
      <c r="C40" s="37" t="s">
        <v>116</v>
      </c>
      <c r="D40" s="53"/>
      <c r="E40" s="53"/>
      <c r="F40" s="55">
        <f>ROUND((G5+G9)*4.4%,2)</f>
        <v>44.26</v>
      </c>
      <c r="G40" s="56">
        <f t="shared" si="7"/>
        <v>44.26</v>
      </c>
      <c r="H40" s="39"/>
      <c r="I40" s="39"/>
      <c r="J40" s="55">
        <f>ROUND((K5+K9)*5%,2)</f>
        <v>44.14</v>
      </c>
      <c r="K40" s="56">
        <f t="shared" si="10"/>
        <v>44.14</v>
      </c>
      <c r="L40" s="39">
        <f t="shared" si="11"/>
        <v>-0.12</v>
      </c>
      <c r="M40" s="60" t="s">
        <v>119</v>
      </c>
      <c r="N40" s="59" t="str">
        <f t="shared" si="6"/>
        <v>基本预备费送审金额为44.26万元，审定金额为44.14万元，审减金额为0.12。主要原因是取费基数的减少。</v>
      </c>
    </row>
    <row r="41" s="13" customFormat="1" ht="25" customHeight="1" spans="1:14">
      <c r="A41" s="42" t="s">
        <v>80</v>
      </c>
      <c r="B41" s="31" t="s">
        <v>107</v>
      </c>
      <c r="C41" s="37" t="s">
        <v>116</v>
      </c>
      <c r="D41" s="43"/>
      <c r="E41" s="43"/>
      <c r="F41" s="44">
        <f>F42</f>
        <v>0</v>
      </c>
      <c r="G41" s="45">
        <f t="shared" si="7"/>
        <v>0</v>
      </c>
      <c r="H41" s="34"/>
      <c r="I41" s="34"/>
      <c r="J41" s="44">
        <f>J42</f>
        <v>0</v>
      </c>
      <c r="K41" s="45">
        <f t="shared" si="10"/>
        <v>0</v>
      </c>
      <c r="L41" s="34"/>
      <c r="M41" s="99"/>
      <c r="N41" s="59" t="str">
        <f t="shared" si="6"/>
        <v>"</v>
      </c>
    </row>
    <row r="42" s="12" customFormat="1" ht="25" customHeight="1" spans="1:14">
      <c r="A42" s="54">
        <v>1</v>
      </c>
      <c r="B42" s="36" t="s">
        <v>107</v>
      </c>
      <c r="C42" s="37" t="s">
        <v>116</v>
      </c>
      <c r="D42" s="53"/>
      <c r="E42" s="53"/>
      <c r="F42" s="55">
        <v>0</v>
      </c>
      <c r="G42" s="56">
        <f t="shared" si="7"/>
        <v>0</v>
      </c>
      <c r="H42" s="39"/>
      <c r="I42" s="39"/>
      <c r="J42" s="55">
        <v>0</v>
      </c>
      <c r="K42" s="56">
        <f t="shared" si="10"/>
        <v>0</v>
      </c>
      <c r="L42" s="39">
        <f t="shared" si="11"/>
        <v>0</v>
      </c>
      <c r="M42" s="60" t="s">
        <v>119</v>
      </c>
      <c r="N42" s="59" t="str">
        <f t="shared" si="6"/>
        <v>"</v>
      </c>
    </row>
    <row r="43" s="12" customFormat="1" ht="25" customHeight="1" spans="1:14">
      <c r="A43" s="42" t="s">
        <v>108</v>
      </c>
      <c r="B43" s="31" t="s">
        <v>81</v>
      </c>
      <c r="C43" s="37" t="s">
        <v>116</v>
      </c>
      <c r="D43" s="53"/>
      <c r="E43" s="53"/>
      <c r="F43" s="44"/>
      <c r="G43" s="45">
        <f>G5+G9+G39</f>
        <v>1050.073044</v>
      </c>
      <c r="H43" s="39"/>
      <c r="I43" s="39"/>
      <c r="J43" s="45"/>
      <c r="K43" s="45">
        <f>K5+K9+K39</f>
        <v>926.92598</v>
      </c>
      <c r="L43" s="34">
        <f t="shared" si="11"/>
        <v>-123.15</v>
      </c>
      <c r="M43" s="58"/>
      <c r="N43" s="59"/>
    </row>
    <row r="44" s="12" customFormat="1" customHeight="1" spans="1:16384">
      <c r="A44" s="14"/>
      <c r="B44" s="15"/>
      <c r="C44" s="16"/>
      <c r="D44" s="16"/>
      <c r="E44" s="16"/>
      <c r="F44" s="17"/>
      <c r="G44" s="18"/>
      <c r="H44" s="18"/>
      <c r="I44" s="18"/>
      <c r="J44" s="18"/>
      <c r="K44" s="18"/>
      <c r="L44" s="18"/>
      <c r="M44" s="16"/>
      <c r="XFD44"/>
    </row>
    <row r="45" s="12" customFormat="1" customHeight="1" spans="1:16384">
      <c r="A45" s="14"/>
      <c r="B45" s="15"/>
      <c r="C45" s="16"/>
      <c r="D45" s="16"/>
      <c r="E45" s="16"/>
      <c r="F45" s="17"/>
      <c r="G45" s="18"/>
      <c r="H45" s="18"/>
      <c r="I45" s="18"/>
      <c r="J45" s="18"/>
      <c r="K45" s="18"/>
      <c r="L45" s="18"/>
      <c r="M45" s="16"/>
      <c r="XFD45"/>
    </row>
    <row r="46" s="12" customFormat="1" customHeight="1" spans="1:16384">
      <c r="A46" s="14"/>
      <c r="B46" s="15"/>
      <c r="C46" s="16"/>
      <c r="D46" s="16"/>
      <c r="E46" s="16"/>
      <c r="F46" s="17"/>
      <c r="G46" s="18"/>
      <c r="H46" s="18"/>
      <c r="I46" s="18"/>
      <c r="J46" s="18"/>
      <c r="K46" s="18"/>
      <c r="L46" s="18"/>
      <c r="M46" s="16"/>
      <c r="XFD46"/>
    </row>
    <row r="47" s="12" customFormat="1" customHeight="1" spans="1:16384">
      <c r="A47" s="14"/>
      <c r="B47" s="15"/>
      <c r="C47" s="16"/>
      <c r="D47" s="16"/>
      <c r="E47" s="16"/>
      <c r="F47" s="17"/>
      <c r="G47" s="18"/>
      <c r="H47" s="18"/>
      <c r="I47" s="18"/>
      <c r="J47" s="18"/>
      <c r="K47" s="18"/>
      <c r="L47" s="18"/>
      <c r="M47" s="16"/>
      <c r="XFD47"/>
    </row>
    <row r="48" s="12" customFormat="1" customHeight="1" spans="1:16384">
      <c r="A48" s="14"/>
      <c r="B48" s="15"/>
      <c r="C48" s="16"/>
      <c r="D48" s="16"/>
      <c r="E48" s="16"/>
      <c r="F48" s="17"/>
      <c r="G48" s="18"/>
      <c r="H48" s="18"/>
      <c r="I48" s="18"/>
      <c r="J48" s="18"/>
      <c r="K48" s="18"/>
      <c r="L48" s="18"/>
      <c r="M48" s="16"/>
      <c r="XFD48"/>
    </row>
    <row r="49" s="12" customFormat="1" customHeight="1" spans="1:16384">
      <c r="A49" s="14"/>
      <c r="B49" s="15"/>
      <c r="C49" s="16"/>
      <c r="D49" s="16"/>
      <c r="E49" s="16"/>
      <c r="F49" s="17"/>
      <c r="G49" s="18"/>
      <c r="H49" s="18"/>
      <c r="I49" s="18"/>
      <c r="J49" s="18"/>
      <c r="K49" s="18"/>
      <c r="L49" s="18"/>
      <c r="M49" s="16"/>
      <c r="XFD49"/>
    </row>
    <row r="50" s="12" customFormat="1" customHeight="1" spans="1:16384">
      <c r="A50" s="14"/>
      <c r="B50" s="15"/>
      <c r="C50" s="16"/>
      <c r="D50" s="16"/>
      <c r="E50" s="16"/>
      <c r="F50" s="17"/>
      <c r="G50" s="18"/>
      <c r="H50" s="18"/>
      <c r="I50" s="18"/>
      <c r="J50" s="18"/>
      <c r="K50" s="18"/>
      <c r="L50" s="18"/>
      <c r="M50" s="16"/>
      <c r="XFD50"/>
    </row>
    <row r="51" s="12" customFormat="1" customHeight="1" spans="1:16384">
      <c r="A51" s="14"/>
      <c r="B51" s="15"/>
      <c r="C51" s="16"/>
      <c r="D51" s="16"/>
      <c r="E51" s="16"/>
      <c r="F51" s="17"/>
      <c r="G51" s="18"/>
      <c r="H51" s="18"/>
      <c r="I51" s="18"/>
      <c r="J51" s="18"/>
      <c r="K51" s="18"/>
      <c r="L51" s="18"/>
      <c r="M51" s="16"/>
      <c r="XFD51"/>
    </row>
  </sheetData>
  <mergeCells count="9">
    <mergeCell ref="A1:M1"/>
    <mergeCell ref="A2:M2"/>
    <mergeCell ref="D3:G3"/>
    <mergeCell ref="H3:K3"/>
    <mergeCell ref="A3:A4"/>
    <mergeCell ref="B3:B4"/>
    <mergeCell ref="C3:C4"/>
    <mergeCell ref="L3:L4"/>
    <mergeCell ref="M3:M4"/>
  </mergeCell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0"/>
  <sheetViews>
    <sheetView view="pageBreakPreview" zoomScaleNormal="100" topLeftCell="I1" workbookViewId="0">
      <pane ySplit="4" topLeftCell="A32" activePane="bottomLeft" state="frozen"/>
      <selection/>
      <selection pane="bottomLeft" activeCell="N38" sqref="N38"/>
    </sheetView>
  </sheetViews>
  <sheetFormatPr defaultColWidth="9" defaultRowHeight="18.75" customHeight="1"/>
  <cols>
    <col min="1" max="1" width="6.9" style="14" customWidth="1"/>
    <col min="2" max="2" width="28.25" style="15" customWidth="1"/>
    <col min="3" max="3" width="7.25" style="16" customWidth="1"/>
    <col min="4" max="4" width="9.5" style="16" customWidth="1"/>
    <col min="5" max="5" width="9.2" style="16" customWidth="1"/>
    <col min="6" max="6" width="9.2" style="17" customWidth="1"/>
    <col min="7" max="8" width="9.5" style="18" customWidth="1"/>
    <col min="9" max="10" width="9.2" style="18" customWidth="1"/>
    <col min="11" max="11" width="9.5" style="18" customWidth="1"/>
    <col min="12" max="12" width="8.5" style="18" customWidth="1"/>
    <col min="13" max="13" width="15.7" style="16" customWidth="1"/>
    <col min="14" max="14" width="9" style="12" customWidth="1"/>
    <col min="15" max="15" width="14.2" style="12" customWidth="1"/>
    <col min="16" max="16383" width="9" style="12"/>
  </cols>
  <sheetData>
    <row r="1" s="12" customFormat="1" ht="28.5" customHeight="1" spans="1:13">
      <c r="A1" s="19" t="s">
        <v>109</v>
      </c>
      <c r="B1" s="20"/>
      <c r="C1" s="19"/>
      <c r="D1" s="19"/>
      <c r="E1" s="19"/>
      <c r="F1" s="21"/>
      <c r="G1" s="19"/>
      <c r="H1" s="19"/>
      <c r="I1" s="19"/>
      <c r="J1" s="19"/>
      <c r="K1" s="19"/>
      <c r="L1" s="19"/>
      <c r="M1" s="19"/>
    </row>
    <row r="2" s="12" customFormat="1" ht="24.75" customHeight="1" spans="1:13">
      <c r="A2" s="22" t="s">
        <v>138</v>
      </c>
      <c r="B2" s="22"/>
      <c r="C2" s="23"/>
      <c r="D2" s="23"/>
      <c r="E2" s="23"/>
      <c r="F2" s="24"/>
      <c r="G2" s="23"/>
      <c r="H2" s="23"/>
      <c r="I2" s="23"/>
      <c r="J2" s="23"/>
      <c r="K2" s="23"/>
      <c r="L2" s="23"/>
      <c r="M2" s="23"/>
    </row>
    <row r="3" s="12" customFormat="1" ht="20" customHeight="1" spans="1:13">
      <c r="A3" s="25" t="s">
        <v>2</v>
      </c>
      <c r="B3" s="26" t="s">
        <v>3</v>
      </c>
      <c r="C3" s="27" t="s">
        <v>111</v>
      </c>
      <c r="D3" s="28" t="s">
        <v>112</v>
      </c>
      <c r="E3" s="28"/>
      <c r="F3" s="28"/>
      <c r="G3" s="28"/>
      <c r="H3" s="28" t="s">
        <v>113</v>
      </c>
      <c r="I3" s="28"/>
      <c r="J3" s="28"/>
      <c r="K3" s="28"/>
      <c r="L3" s="28" t="s">
        <v>114</v>
      </c>
      <c r="M3" s="57" t="s">
        <v>6</v>
      </c>
    </row>
    <row r="4" s="12" customFormat="1" ht="32" customHeight="1" spans="1:13">
      <c r="A4" s="25"/>
      <c r="B4" s="26"/>
      <c r="C4" s="27"/>
      <c r="D4" s="27" t="s">
        <v>115</v>
      </c>
      <c r="E4" s="27" t="s">
        <v>8</v>
      </c>
      <c r="F4" s="29" t="s">
        <v>9</v>
      </c>
      <c r="G4" s="28" t="s">
        <v>10</v>
      </c>
      <c r="H4" s="27" t="s">
        <v>115</v>
      </c>
      <c r="I4" s="27" t="s">
        <v>8</v>
      </c>
      <c r="J4" s="29" t="s">
        <v>9</v>
      </c>
      <c r="K4" s="28" t="s">
        <v>10</v>
      </c>
      <c r="L4" s="28"/>
      <c r="M4" s="57"/>
    </row>
    <row r="5" s="13" customFormat="1" ht="25" customHeight="1" spans="1:14">
      <c r="A5" s="30" t="s">
        <v>11</v>
      </c>
      <c r="B5" s="31" t="s">
        <v>12</v>
      </c>
      <c r="C5" s="32" t="s">
        <v>116</v>
      </c>
      <c r="D5" s="33">
        <f t="shared" ref="D5:I5" si="0">D6+D7</f>
        <v>1103.37</v>
      </c>
      <c r="E5" s="33">
        <f t="shared" si="0"/>
        <v>0</v>
      </c>
      <c r="F5" s="34"/>
      <c r="G5" s="34">
        <f t="shared" ref="G5:G7" si="1">D5+E5</f>
        <v>1103.37</v>
      </c>
      <c r="H5" s="33">
        <f t="shared" si="0"/>
        <v>1019.32067</v>
      </c>
      <c r="I5" s="33">
        <f t="shared" si="0"/>
        <v>0</v>
      </c>
      <c r="J5" s="34"/>
      <c r="K5" s="34">
        <f t="shared" ref="K5:K7" si="2">H5+I5</f>
        <v>1019.32067</v>
      </c>
      <c r="L5" s="34">
        <f t="shared" ref="L5:L11" si="3">K5-G5</f>
        <v>-84.0493299999999</v>
      </c>
      <c r="M5" s="58"/>
      <c r="N5" s="59"/>
    </row>
    <row r="6" s="13" customFormat="1" ht="22.5" spans="1:14">
      <c r="A6" s="35">
        <v>1</v>
      </c>
      <c r="B6" s="97" t="s">
        <v>84</v>
      </c>
      <c r="C6" s="37" t="s">
        <v>116</v>
      </c>
      <c r="D6" s="38"/>
      <c r="E6" s="38"/>
      <c r="F6" s="34"/>
      <c r="G6" s="39"/>
      <c r="H6" s="39"/>
      <c r="I6" s="39"/>
      <c r="J6" s="39"/>
      <c r="K6" s="39"/>
      <c r="L6" s="39"/>
      <c r="M6" s="58"/>
      <c r="N6" s="59" t="str">
        <f>IF(L6&lt;0,B6&amp;"送审金额为"&amp;G6&amp;C6&amp;"，审定金额为"&amp;K6&amp;C6&amp;"，审减金额为"&amp;-L6&amp;"万元。主要原因是"&amp;M6&amp;"。",IF(L6&gt;0,B6&amp;"送审金额为"&amp;G6&amp;C6&amp;"，审定金额为"&amp;K6&amp;C6&amp;"，审增金额为"&amp;L6&amp;"万元。主要原因是"&amp;M6&amp;"。",""""))</f>
        <v>"</v>
      </c>
    </row>
    <row r="7" s="13" customFormat="1" ht="22.5" spans="1:15">
      <c r="A7" s="35">
        <v>2</v>
      </c>
      <c r="B7" s="97" t="s">
        <v>85</v>
      </c>
      <c r="C7" s="37" t="s">
        <v>116</v>
      </c>
      <c r="D7" s="38">
        <v>1103.37</v>
      </c>
      <c r="E7" s="38"/>
      <c r="F7" s="34"/>
      <c r="G7" s="39">
        <f t="shared" si="1"/>
        <v>1103.37</v>
      </c>
      <c r="H7" s="39">
        <f>10193206.7/10000</f>
        <v>1019.32067</v>
      </c>
      <c r="I7" s="39"/>
      <c r="J7" s="39"/>
      <c r="K7" s="39">
        <f t="shared" si="2"/>
        <v>1019.32067</v>
      </c>
      <c r="L7" s="39">
        <f t="shared" si="3"/>
        <v>-84.0493299999999</v>
      </c>
      <c r="M7" s="101"/>
      <c r="N7" s="59" t="str">
        <f>IF(L7&lt;0,B7&amp;"送审金额为"&amp;G7&amp;C7&amp;"，审定金额为"&amp;K7&amp;C7&amp;"，审减金额为"&amp;-L7&amp;"万元。主要原因是"&amp;M7&amp;"。",IF(L7&gt;0,B7&amp;"送审金额为"&amp;G7&amp;C7&amp;"，审定金额为"&amp;K7&amp;C7&amp;"，审增金额为"&amp;L7&amp;"万元。主要原因是"&amp;M7&amp;"。",""""))</f>
        <v>重庆市大足区2023年万古镇、三驱镇及龙水镇老旧小区基础配套工程（三驱片区）送审金额为1103.37万元，审定金额为1019.32067万元，审减金额为84.0493299999999万元。主要原因是。</v>
      </c>
      <c r="O7" s="102"/>
    </row>
    <row r="8" s="13" customFormat="1" ht="22.5" spans="1:14">
      <c r="A8" s="35">
        <v>3</v>
      </c>
      <c r="B8" s="97" t="s">
        <v>86</v>
      </c>
      <c r="C8" s="37" t="s">
        <v>116</v>
      </c>
      <c r="D8" s="40"/>
      <c r="E8" s="38"/>
      <c r="F8" s="34"/>
      <c r="G8" s="39"/>
      <c r="H8" s="39"/>
      <c r="I8" s="39"/>
      <c r="J8" s="39"/>
      <c r="K8" s="39"/>
      <c r="L8" s="39"/>
      <c r="M8" s="58"/>
      <c r="N8" s="59"/>
    </row>
    <row r="9" s="13" customFormat="1" ht="25" customHeight="1" spans="1:14">
      <c r="A9" s="42" t="s">
        <v>16</v>
      </c>
      <c r="B9" s="31" t="s">
        <v>17</v>
      </c>
      <c r="C9" s="32" t="s">
        <v>116</v>
      </c>
      <c r="D9" s="43"/>
      <c r="E9" s="43"/>
      <c r="F9" s="44">
        <f>F10+F11+F33+F36</f>
        <v>118.11149</v>
      </c>
      <c r="G9" s="45">
        <f t="shared" ref="G9:G13" si="4">F9</f>
        <v>118.11149</v>
      </c>
      <c r="H9" s="34"/>
      <c r="I9" s="34"/>
      <c r="J9" s="44">
        <f>J10+J11+J33+J36</f>
        <v>132.0098855</v>
      </c>
      <c r="K9" s="45">
        <f t="shared" ref="K9:K13" si="5">J9</f>
        <v>132.0098855</v>
      </c>
      <c r="L9" s="34">
        <f t="shared" si="3"/>
        <v>13.8983955</v>
      </c>
      <c r="M9" s="58"/>
      <c r="N9" s="59"/>
    </row>
    <row r="10" s="13" customFormat="1" ht="25" customHeight="1" spans="1:14">
      <c r="A10" s="46" t="s">
        <v>19</v>
      </c>
      <c r="B10" s="47" t="s">
        <v>20</v>
      </c>
      <c r="C10" s="32" t="s">
        <v>116</v>
      </c>
      <c r="D10" s="38"/>
      <c r="E10" s="48"/>
      <c r="F10" s="49">
        <v>0</v>
      </c>
      <c r="G10" s="33">
        <f t="shared" si="4"/>
        <v>0</v>
      </c>
      <c r="H10" s="34"/>
      <c r="I10" s="34"/>
      <c r="J10" s="49">
        <v>0</v>
      </c>
      <c r="K10" s="33">
        <f t="shared" si="5"/>
        <v>0</v>
      </c>
      <c r="L10" s="34">
        <f t="shared" si="3"/>
        <v>0</v>
      </c>
      <c r="M10" s="58"/>
      <c r="N10" s="59"/>
    </row>
    <row r="11" s="12" customFormat="1" ht="25" customHeight="1" spans="1:14">
      <c r="A11" s="46" t="s">
        <v>22</v>
      </c>
      <c r="B11" s="47" t="s">
        <v>23</v>
      </c>
      <c r="C11" s="32" t="s">
        <v>116</v>
      </c>
      <c r="D11" s="38"/>
      <c r="E11" s="38"/>
      <c r="F11" s="49">
        <f>F12+F16+F17+F18+F19+F29+F30+F25+F26+F27+F28</f>
        <v>90.32464</v>
      </c>
      <c r="G11" s="33">
        <f t="shared" si="4"/>
        <v>90.32464</v>
      </c>
      <c r="H11" s="39"/>
      <c r="I11" s="39"/>
      <c r="J11" s="49">
        <f>J12+J16+J17+J18+J19+J29+J30+J25+J26+J27+J28</f>
        <v>106.5423855</v>
      </c>
      <c r="K11" s="45">
        <f t="shared" si="5"/>
        <v>106.5423855</v>
      </c>
      <c r="L11" s="34">
        <f t="shared" si="3"/>
        <v>16.2177455</v>
      </c>
      <c r="M11" s="58"/>
      <c r="N11" s="59"/>
    </row>
    <row r="12" s="12" customFormat="1" ht="25" customHeight="1" spans="1:14">
      <c r="A12" s="50">
        <v>1</v>
      </c>
      <c r="B12" s="36" t="s">
        <v>117</v>
      </c>
      <c r="C12" s="37" t="s">
        <v>116</v>
      </c>
      <c r="D12" s="38"/>
      <c r="E12" s="38"/>
      <c r="F12" s="38">
        <f>F13+F14+F15</f>
        <v>5.26</v>
      </c>
      <c r="G12" s="40">
        <f t="shared" si="4"/>
        <v>5.26</v>
      </c>
      <c r="H12" s="39"/>
      <c r="I12" s="39"/>
      <c r="J12" s="38">
        <f>J13+J14+J15</f>
        <v>7.203</v>
      </c>
      <c r="K12" s="40">
        <f t="shared" si="5"/>
        <v>7.203</v>
      </c>
      <c r="L12" s="39">
        <f t="shared" ref="L11:L13" si="6">ROUND(K12-G12,2)</f>
        <v>1.94</v>
      </c>
      <c r="M12" s="60"/>
      <c r="N12" s="59" t="str">
        <f>IF(L12&lt;0,B12&amp;"送审金额为"&amp;G12&amp;C12&amp;"，审定金额为"&amp;K12&amp;C12&amp;"，审减金额为"&amp;-L12&amp;"万元。主要原因是"&amp;M12&amp;"。",IF(L12&gt;0,B12&amp;"送审金额为"&amp;G12&amp;C12&amp;"，审定金额为"&amp;K12&amp;C12&amp;"，审增金额为"&amp;L12&amp;"万元。主要原因是"&amp;M12&amp;"。",""""))</f>
        <v>前期工作咨询费送审金额为5.26万元，审定金额为7.203万元，审增金额为1.94万元。主要原因是。</v>
      </c>
    </row>
    <row r="13" s="12" customFormat="1" ht="25" customHeight="1" spans="1:14">
      <c r="A13" s="51" t="s">
        <v>26</v>
      </c>
      <c r="B13" s="36" t="s">
        <v>118</v>
      </c>
      <c r="C13" s="37" t="s">
        <v>116</v>
      </c>
      <c r="D13" s="38"/>
      <c r="E13" s="38"/>
      <c r="F13" s="38">
        <v>3.75</v>
      </c>
      <c r="G13" s="40">
        <f t="shared" si="4"/>
        <v>3.75</v>
      </c>
      <c r="H13" s="39"/>
      <c r="I13" s="39"/>
      <c r="J13" s="56">
        <v>5.04</v>
      </c>
      <c r="K13" s="40">
        <f t="shared" si="5"/>
        <v>5.04</v>
      </c>
      <c r="L13" s="39">
        <f t="shared" si="6"/>
        <v>1.29</v>
      </c>
      <c r="M13" s="60" t="s">
        <v>119</v>
      </c>
      <c r="N13" s="59" t="str">
        <f>IF(L13&lt;0,B13&amp;"送审金额为"&amp;G13&amp;C13&amp;"，审定金额为"&amp;K13&amp;C13&amp;"，审减金额为"&amp;-L13&amp;"万元。主要原因是"&amp;M13&amp;"。",IF(L13&gt;0,B13&amp;"送审金额为"&amp;G13&amp;C13&amp;"，审定金额为"&amp;K13&amp;C13&amp;"，审增金额为"&amp;L13&amp;"万元。主要原因是"&amp;M13&amp;"。",""""))</f>
        <v>编制可行性研究报告送审金额为3.75万元，审定金额为5.04万元，审增金额为1.29万元。主要原因是取费基数的减少。</v>
      </c>
    </row>
    <row r="14" s="12" customFormat="1" ht="25" customHeight="1" spans="1:14">
      <c r="A14" s="51" t="s">
        <v>29</v>
      </c>
      <c r="B14" s="93" t="s">
        <v>30</v>
      </c>
      <c r="C14" s="37" t="s">
        <v>116</v>
      </c>
      <c r="D14" s="38"/>
      <c r="E14" s="38"/>
      <c r="F14" s="38"/>
      <c r="G14" s="40"/>
      <c r="H14" s="39"/>
      <c r="I14" s="39"/>
      <c r="J14" s="56"/>
      <c r="K14" s="40"/>
      <c r="L14" s="39"/>
      <c r="M14" s="60"/>
      <c r="N14" s="59" t="str">
        <f>IF(L14&lt;0,B14&amp;"送审金额为"&amp;G14&amp;C14&amp;"，审定金额为"&amp;K14&amp;C14&amp;"，审减金额为"&amp;-L14&amp;"万元。主要原因是"&amp;M14&amp;"。",IF(L14&gt;0,B14&amp;"送审金额为"&amp;G14&amp;C14&amp;"，审定金额为"&amp;K14&amp;C14&amp;"，审增金额为"&amp;L14&amp;"万元。主要原因是"&amp;M14&amp;"。",""""))</f>
        <v>"</v>
      </c>
    </row>
    <row r="15" s="12" customFormat="1" ht="25" customHeight="1" spans="1:14">
      <c r="A15" s="51" t="s">
        <v>88</v>
      </c>
      <c r="B15" s="93" t="s">
        <v>89</v>
      </c>
      <c r="C15" s="37" t="s">
        <v>116</v>
      </c>
      <c r="D15" s="38"/>
      <c r="E15" s="38"/>
      <c r="F15" s="38">
        <v>1.51</v>
      </c>
      <c r="G15" s="40">
        <f t="shared" ref="G15:G23" si="7">F15</f>
        <v>1.51</v>
      </c>
      <c r="H15" s="39"/>
      <c r="I15" s="39"/>
      <c r="J15" s="56">
        <v>2.163</v>
      </c>
      <c r="K15" s="40">
        <f t="shared" ref="K15:K24" si="8">J15</f>
        <v>2.163</v>
      </c>
      <c r="L15" s="39">
        <f t="shared" ref="L15:L23" si="9">ROUND(K15-G15,2)</f>
        <v>0.65</v>
      </c>
      <c r="M15" s="60" t="s">
        <v>31</v>
      </c>
      <c r="N15" s="59"/>
    </row>
    <row r="16" s="12" customFormat="1" ht="25" customHeight="1" spans="1:14">
      <c r="A16" s="51" t="s">
        <v>32</v>
      </c>
      <c r="B16" s="36" t="s">
        <v>120</v>
      </c>
      <c r="C16" s="37" t="s">
        <v>116</v>
      </c>
      <c r="D16" s="38"/>
      <c r="E16" s="38"/>
      <c r="F16" s="38">
        <v>27.03</v>
      </c>
      <c r="G16" s="40">
        <f t="shared" si="7"/>
        <v>27.03</v>
      </c>
      <c r="H16" s="39"/>
      <c r="I16" s="39"/>
      <c r="J16" s="56">
        <v>28.5322</v>
      </c>
      <c r="K16" s="40">
        <f t="shared" si="8"/>
        <v>28.5322</v>
      </c>
      <c r="L16" s="39">
        <f t="shared" si="9"/>
        <v>1.5</v>
      </c>
      <c r="M16" s="60" t="s">
        <v>119</v>
      </c>
      <c r="N16" s="59" t="str">
        <f>IF(L16&lt;0,B16&amp;"送审金额为"&amp;G16&amp;C16&amp;"，审定金额为"&amp;K16&amp;C16&amp;"，审减金额为"&amp;-L16&amp;"万元。主要原因是"&amp;M16&amp;"。",IF(L16&gt;0,B16&amp;"送审金额为"&amp;G16&amp;C16&amp;"，审定金额为"&amp;K16&amp;C16&amp;"，审增金额为"&amp;L16&amp;"万元。主要原因是"&amp;M16&amp;"。",""""))</f>
        <v>工程设计费送审金额为27.03万元，审定金额为28.5322万元，审增金额为1.5万元。主要原因是取费基数的减少。</v>
      </c>
    </row>
    <row r="17" s="12" customFormat="1" ht="25" customHeight="1" spans="1:14">
      <c r="A17" s="51" t="s">
        <v>35</v>
      </c>
      <c r="B17" s="93" t="s">
        <v>36</v>
      </c>
      <c r="C17" s="37" t="s">
        <v>116</v>
      </c>
      <c r="D17" s="38"/>
      <c r="E17" s="38"/>
      <c r="F17" s="52">
        <v>2.06</v>
      </c>
      <c r="G17" s="40">
        <f t="shared" si="7"/>
        <v>2.06</v>
      </c>
      <c r="H17" s="39"/>
      <c r="I17" s="39"/>
      <c r="J17" s="56">
        <f>J16*10%</f>
        <v>2.85322</v>
      </c>
      <c r="K17" s="40">
        <f t="shared" si="8"/>
        <v>2.85322</v>
      </c>
      <c r="L17" s="39">
        <f t="shared" si="9"/>
        <v>0.79</v>
      </c>
      <c r="M17" s="60" t="s">
        <v>121</v>
      </c>
      <c r="N17" s="59" t="str">
        <f t="shared" ref="N17:N22" si="10">IF(L17&lt;0,B17&amp;"送审金额为"&amp;G17&amp;C17&amp;"，审定金额为"&amp;K17&amp;C17&amp;"，审减金额为"&amp;-L17&amp;"万元。主要原因是"&amp;M17&amp;"。",IF(L17&gt;0,B17&amp;"送审金额为"&amp;G17&amp;C17&amp;"，审定金额为"&amp;K17&amp;C17&amp;"，审增金额为"&amp;L17&amp;"万元。主要原因是"&amp;M17&amp;"。",""""))</f>
        <v>施工图审查费送审金额为2.06万元，审定金额为2.85322万元，审增金额为0.79万元。主要原因是取费基数、费率的调整。</v>
      </c>
    </row>
    <row r="18" s="12" customFormat="1" ht="25" customHeight="1" spans="1:14">
      <c r="A18" s="51" t="s">
        <v>38</v>
      </c>
      <c r="B18" s="36" t="s">
        <v>122</v>
      </c>
      <c r="C18" s="37" t="s">
        <v>116</v>
      </c>
      <c r="D18" s="38"/>
      <c r="E18" s="38"/>
      <c r="F18" s="38">
        <v>6.91</v>
      </c>
      <c r="G18" s="40">
        <f t="shared" si="7"/>
        <v>6.91</v>
      </c>
      <c r="H18" s="39"/>
      <c r="I18" s="39"/>
      <c r="J18" s="56">
        <v>2.7423</v>
      </c>
      <c r="K18" s="40">
        <f t="shared" si="8"/>
        <v>2.7423</v>
      </c>
      <c r="L18" s="39">
        <f t="shared" si="9"/>
        <v>-4.17</v>
      </c>
      <c r="M18" s="60" t="s">
        <v>123</v>
      </c>
      <c r="N18" s="59" t="str">
        <f t="shared" si="10"/>
        <v>招标代理服务费送审金额为6.91万元，审定金额为2.7423万元，审减金额为4.17万元。主要原因是取费费率的调整。</v>
      </c>
    </row>
    <row r="19" s="12" customFormat="1" ht="25" customHeight="1" spans="1:14">
      <c r="A19" s="51" t="s">
        <v>41</v>
      </c>
      <c r="B19" s="36" t="s">
        <v>124</v>
      </c>
      <c r="C19" s="37" t="s">
        <v>116</v>
      </c>
      <c r="D19" s="38"/>
      <c r="E19" s="38"/>
      <c r="F19" s="38">
        <f>F20+F21+F22+F23+F24</f>
        <v>9.28</v>
      </c>
      <c r="G19" s="40">
        <f t="shared" si="7"/>
        <v>9.28</v>
      </c>
      <c r="H19" s="39"/>
      <c r="I19" s="39"/>
      <c r="J19" s="38">
        <f>J20+J21+J22+J24+J23</f>
        <v>10.8748</v>
      </c>
      <c r="K19" s="40">
        <f t="shared" si="8"/>
        <v>10.8748</v>
      </c>
      <c r="L19" s="39">
        <f t="shared" si="9"/>
        <v>1.59</v>
      </c>
      <c r="M19" s="60"/>
      <c r="N19" s="59" t="str">
        <f t="shared" si="10"/>
        <v>工程造价咨询服务费送审金额为9.28万元，审定金额为10.8748万元，审增金额为1.59万元。主要原因是。</v>
      </c>
    </row>
    <row r="20" s="12" customFormat="1" ht="25" customHeight="1" spans="1:14">
      <c r="A20" s="51" t="s">
        <v>44</v>
      </c>
      <c r="B20" s="36" t="s">
        <v>125</v>
      </c>
      <c r="C20" s="37" t="s">
        <v>116</v>
      </c>
      <c r="D20" s="38"/>
      <c r="E20" s="38"/>
      <c r="F20" s="38">
        <v>1.2</v>
      </c>
      <c r="G20" s="40">
        <f t="shared" si="7"/>
        <v>1.2</v>
      </c>
      <c r="H20" s="39"/>
      <c r="I20" s="39"/>
      <c r="J20" s="56">
        <v>1.015</v>
      </c>
      <c r="K20" s="40">
        <f t="shared" si="8"/>
        <v>1.015</v>
      </c>
      <c r="L20" s="39">
        <f t="shared" si="9"/>
        <v>-0.19</v>
      </c>
      <c r="M20" s="60"/>
      <c r="N20" s="59" t="str">
        <f t="shared" si="10"/>
        <v>概算审查费送审金额为1.2万元，审定金额为1.015万元，审减金额为0.19万元。主要原因是。</v>
      </c>
    </row>
    <row r="21" s="12" customFormat="1" ht="25" customHeight="1" spans="1:14">
      <c r="A21" s="51" t="s">
        <v>46</v>
      </c>
      <c r="B21" s="36" t="s">
        <v>126</v>
      </c>
      <c r="C21" s="37" t="s">
        <v>116</v>
      </c>
      <c r="D21" s="38"/>
      <c r="E21" s="38"/>
      <c r="F21" s="38">
        <f>5.64/2</f>
        <v>2.82</v>
      </c>
      <c r="G21" s="40">
        <f t="shared" si="7"/>
        <v>2.82</v>
      </c>
      <c r="H21" s="39"/>
      <c r="I21" s="39"/>
      <c r="J21" s="56">
        <f>4.7549/2</f>
        <v>2.37745</v>
      </c>
      <c r="K21" s="40">
        <f t="shared" si="8"/>
        <v>2.37745</v>
      </c>
      <c r="L21" s="39">
        <f t="shared" si="9"/>
        <v>-0.44</v>
      </c>
      <c r="M21" s="60" t="s">
        <v>121</v>
      </c>
      <c r="N21" s="59" t="str">
        <f t="shared" si="10"/>
        <v>工程量清单及组价编制费送审金额为2.82万元，审定金额为2.37745万元，审减金额为0.44万元。主要原因是取费基数、费率的调整。</v>
      </c>
    </row>
    <row r="22" s="12" customFormat="1" ht="25" customHeight="1" spans="1:14">
      <c r="A22" s="51" t="s">
        <v>49</v>
      </c>
      <c r="B22" s="36" t="s">
        <v>127</v>
      </c>
      <c r="C22" s="37" t="s">
        <v>116</v>
      </c>
      <c r="D22" s="38"/>
      <c r="E22" s="38"/>
      <c r="F22" s="38">
        <f>5.64/2</f>
        <v>2.82</v>
      </c>
      <c r="G22" s="40">
        <f t="shared" si="7"/>
        <v>2.82</v>
      </c>
      <c r="H22" s="39"/>
      <c r="I22" s="39"/>
      <c r="J22" s="56">
        <f>4.7549/2</f>
        <v>2.37745</v>
      </c>
      <c r="K22" s="40">
        <f t="shared" si="8"/>
        <v>2.37745</v>
      </c>
      <c r="L22" s="39">
        <f t="shared" si="9"/>
        <v>-0.44</v>
      </c>
      <c r="M22" s="60" t="s">
        <v>121</v>
      </c>
      <c r="N22" s="59" t="str">
        <f t="shared" si="10"/>
        <v>工程量清单及组价审核费送审金额为2.82万元，审定金额为2.37745万元，审减金额为0.44万元。主要原因是取费基数、费率的调整。</v>
      </c>
    </row>
    <row r="23" s="12" customFormat="1" ht="25" customHeight="1" spans="1:14">
      <c r="A23" s="51" t="s">
        <v>51</v>
      </c>
      <c r="B23" s="36" t="s">
        <v>91</v>
      </c>
      <c r="C23" s="37" t="s">
        <v>116</v>
      </c>
      <c r="D23" s="52"/>
      <c r="E23" s="52"/>
      <c r="F23" s="52">
        <v>2.44</v>
      </c>
      <c r="G23" s="40">
        <f t="shared" si="7"/>
        <v>2.44</v>
      </c>
      <c r="H23" s="39"/>
      <c r="I23" s="39"/>
      <c r="J23" s="56">
        <v>5.1049</v>
      </c>
      <c r="K23" s="40">
        <f t="shared" si="8"/>
        <v>5.1049</v>
      </c>
      <c r="L23" s="39">
        <f t="shared" si="9"/>
        <v>2.66</v>
      </c>
      <c r="M23" s="60"/>
      <c r="N23" s="59"/>
    </row>
    <row r="24" s="12" customFormat="1" ht="25" customHeight="1" spans="1:14">
      <c r="A24" s="51" t="s">
        <v>92</v>
      </c>
      <c r="B24" s="97" t="s">
        <v>52</v>
      </c>
      <c r="C24" s="37" t="s">
        <v>116</v>
      </c>
      <c r="D24" s="52"/>
      <c r="E24" s="52"/>
      <c r="F24" s="52"/>
      <c r="G24" s="40"/>
      <c r="H24" s="39"/>
      <c r="I24" s="39"/>
      <c r="J24" s="56"/>
      <c r="K24" s="40"/>
      <c r="L24" s="39"/>
      <c r="M24" s="60"/>
      <c r="N24" s="59" t="str">
        <f>IF(L24&lt;0,B24&amp;"送审金额为"&amp;G24&amp;C24&amp;"，审定金额为"&amp;K24&amp;C24&amp;"，审减金额为"&amp;-L24&amp;"万元。主要原因是"&amp;M24&amp;"。",IF(L24&gt;0,B24&amp;"送审金额为"&amp;G24&amp;C24&amp;"，审定金额为"&amp;K24&amp;C24&amp;"，审增金额为"&amp;L24&amp;"万元。主要原因是"&amp;M24&amp;"。",""""))</f>
        <v>"</v>
      </c>
    </row>
    <row r="25" s="12" customFormat="1" ht="25" customHeight="1" spans="1:14">
      <c r="A25" s="51" t="s">
        <v>53</v>
      </c>
      <c r="B25" s="36" t="s">
        <v>128</v>
      </c>
      <c r="C25" s="37" t="s">
        <v>116</v>
      </c>
      <c r="D25" s="52"/>
      <c r="E25" s="52"/>
      <c r="F25" s="52"/>
      <c r="G25" s="40"/>
      <c r="H25" s="39"/>
      <c r="I25" s="39"/>
      <c r="J25" s="56"/>
      <c r="K25" s="40"/>
      <c r="L25" s="39"/>
      <c r="M25" s="60"/>
      <c r="N25" s="59" t="str">
        <f>IF(L25&lt;0,B25&amp;"送审金额为"&amp;G25&amp;C25&amp;"，审定金额为"&amp;K25&amp;C25&amp;"，审减金额为"&amp;-L25&amp;"万元。主要原因是"&amp;M25&amp;"。",IF(L25&gt;0,B25&amp;"送审金额为"&amp;G25&amp;C25&amp;"，审定金额为"&amp;K25&amp;C25&amp;"，审增金额为"&amp;L25&amp;"万元。主要原因是"&amp;M25&amp;"。",""""))</f>
        <v>"</v>
      </c>
    </row>
    <row r="26" s="12" customFormat="1" ht="25" customHeight="1" spans="1:14">
      <c r="A26" s="51" t="s">
        <v>56</v>
      </c>
      <c r="B26" s="36" t="s">
        <v>129</v>
      </c>
      <c r="C26" s="37" t="s">
        <v>116</v>
      </c>
      <c r="D26" s="38"/>
      <c r="E26" s="38"/>
      <c r="F26" s="38">
        <v>22.81</v>
      </c>
      <c r="G26" s="40">
        <f t="shared" ref="G26:G37" si="11">F26</f>
        <v>22.81</v>
      </c>
      <c r="H26" s="39"/>
      <c r="I26" s="39"/>
      <c r="J26" s="56">
        <v>38.6562</v>
      </c>
      <c r="K26" s="40">
        <f t="shared" ref="K26:K32" si="12">J26</f>
        <v>38.6562</v>
      </c>
      <c r="L26" s="39">
        <f t="shared" ref="L26:L32" si="13">ROUND(K26-G26,2)</f>
        <v>15.85</v>
      </c>
      <c r="M26" s="60" t="s">
        <v>121</v>
      </c>
      <c r="N26" s="59" t="str">
        <f>IF(L26&lt;0,B26&amp;"送审金额为"&amp;G26&amp;C26&amp;"，审定金额为"&amp;K26&amp;C26&amp;"，审减金额为"&amp;-L26&amp;"万元。主要原因是"&amp;M26&amp;"。",IF(L26&gt;0,B26&amp;"送审金额为"&amp;G26&amp;C26&amp;"，审定金额为"&amp;K26&amp;C26&amp;"，审增金额为"&amp;L26&amp;"万元。主要原因是"&amp;M26&amp;"。",""""))</f>
        <v>工程建设监理费送审金额为22.81万元，审定金额为38.6562万元，审增金额为15.85万元。主要原因是取费基数、费率的调整。</v>
      </c>
    </row>
    <row r="27" s="12" customFormat="1" ht="25" customHeight="1" spans="1:14">
      <c r="A27" s="51" t="s">
        <v>59</v>
      </c>
      <c r="B27" s="36" t="s">
        <v>130</v>
      </c>
      <c r="C27" s="37" t="s">
        <v>116</v>
      </c>
      <c r="D27" s="38"/>
      <c r="E27" s="38"/>
      <c r="F27" s="38">
        <v>5.52</v>
      </c>
      <c r="G27" s="40">
        <f t="shared" si="11"/>
        <v>5.52</v>
      </c>
      <c r="H27" s="39"/>
      <c r="I27" s="39"/>
      <c r="J27" s="56">
        <v>5.0966</v>
      </c>
      <c r="K27" s="40">
        <f t="shared" si="12"/>
        <v>5.0966</v>
      </c>
      <c r="L27" s="39">
        <f t="shared" si="13"/>
        <v>-0.42</v>
      </c>
      <c r="M27" s="60"/>
      <c r="N27" s="59" t="str">
        <f>IF(L27&lt;0,B27&amp;"送审金额为"&amp;G27&amp;C27&amp;"，审定金额为"&amp;K27&amp;C27&amp;"，审减金额为"&amp;-L27&amp;"万元。主要原因是"&amp;M27&amp;"。",IF(L27&gt;0,B27&amp;"送审金额为"&amp;G27&amp;C27&amp;"，审定金额为"&amp;K27&amp;C27&amp;"，审增金额为"&amp;L27&amp;"万元。主要原因是"&amp;M27&amp;"。",""""))</f>
        <v>安全生产保障费送审金额为5.52万元，审定金额为5.0966万元，审减金额为0.42万元。主要原因是。</v>
      </c>
    </row>
    <row r="28" s="12" customFormat="1" ht="25" customHeight="1" spans="1:14">
      <c r="A28" s="51" t="s">
        <v>62</v>
      </c>
      <c r="B28" s="36" t="s">
        <v>131</v>
      </c>
      <c r="C28" s="37" t="s">
        <v>116</v>
      </c>
      <c r="D28" s="38"/>
      <c r="E28" s="38"/>
      <c r="F28" s="38"/>
      <c r="G28" s="40"/>
      <c r="H28" s="39"/>
      <c r="I28" s="39"/>
      <c r="J28" s="56"/>
      <c r="K28" s="40"/>
      <c r="L28" s="39"/>
      <c r="M28" s="60"/>
      <c r="N28" s="59" t="str">
        <f>IF(L28&lt;0,B28&amp;"送审金额为"&amp;G28&amp;C28&amp;"，审定金额为"&amp;K28&amp;C28&amp;"，审减金额为"&amp;-L28&amp;"万元。主要原因是"&amp;M28&amp;"。",IF(L28&gt;0,B28&amp;"送审金额为"&amp;G28&amp;C28&amp;"，审定金额为"&amp;K28&amp;C28&amp;"，审增金额为"&amp;L28&amp;"万元。主要原因是"&amp;M28&amp;"。",""""))</f>
        <v>"</v>
      </c>
    </row>
    <row r="29" s="12" customFormat="1" ht="25" customHeight="1" spans="1:14">
      <c r="A29" s="51" t="s">
        <v>94</v>
      </c>
      <c r="B29" s="36" t="s">
        <v>95</v>
      </c>
      <c r="C29" s="37" t="s">
        <v>116</v>
      </c>
      <c r="D29" s="38"/>
      <c r="E29" s="38"/>
      <c r="F29" s="38">
        <v>10.48</v>
      </c>
      <c r="G29" s="40">
        <f t="shared" si="11"/>
        <v>10.48</v>
      </c>
      <c r="H29" s="39"/>
      <c r="I29" s="39"/>
      <c r="J29" s="98">
        <v>9.6835</v>
      </c>
      <c r="K29" s="56">
        <f t="shared" si="12"/>
        <v>9.6835</v>
      </c>
      <c r="L29" s="39">
        <f t="shared" si="13"/>
        <v>-0.8</v>
      </c>
      <c r="M29" s="60"/>
      <c r="N29" s="59"/>
    </row>
    <row r="30" s="12" customFormat="1" ht="25" customHeight="1" spans="1:14">
      <c r="A30" s="51" t="s">
        <v>97</v>
      </c>
      <c r="B30" s="36" t="s">
        <v>98</v>
      </c>
      <c r="C30" s="37" t="s">
        <v>116</v>
      </c>
      <c r="D30" s="38"/>
      <c r="E30" s="38"/>
      <c r="F30" s="38">
        <f>F31+F32</f>
        <v>0.97464</v>
      </c>
      <c r="G30" s="40">
        <f t="shared" si="11"/>
        <v>0.97464</v>
      </c>
      <c r="H30" s="39"/>
      <c r="I30" s="39"/>
      <c r="J30" s="38">
        <f>J31+J32</f>
        <v>0.9005655</v>
      </c>
      <c r="K30" s="56">
        <f t="shared" si="12"/>
        <v>0.9005655</v>
      </c>
      <c r="L30" s="39">
        <f t="shared" si="13"/>
        <v>-0.07</v>
      </c>
      <c r="M30" s="60"/>
      <c r="N30" s="59"/>
    </row>
    <row r="31" s="12" customFormat="1" ht="25" customHeight="1" spans="1:14">
      <c r="A31" s="51" t="s">
        <v>99</v>
      </c>
      <c r="B31" s="36" t="s">
        <v>100</v>
      </c>
      <c r="C31" s="37" t="s">
        <v>116</v>
      </c>
      <c r="D31" s="38"/>
      <c r="E31" s="38"/>
      <c r="F31" s="40">
        <f>F29*6%</f>
        <v>0.6288</v>
      </c>
      <c r="G31" s="40">
        <f t="shared" si="11"/>
        <v>0.6288</v>
      </c>
      <c r="H31" s="39"/>
      <c r="I31" s="39"/>
      <c r="J31" s="38">
        <f>J29*6%</f>
        <v>0.58101</v>
      </c>
      <c r="K31" s="56">
        <f t="shared" si="12"/>
        <v>0.58101</v>
      </c>
      <c r="L31" s="39">
        <f t="shared" si="13"/>
        <v>-0.05</v>
      </c>
      <c r="M31" s="60"/>
      <c r="N31" s="59"/>
    </row>
    <row r="32" s="12" customFormat="1" ht="25" customHeight="1" spans="1:14">
      <c r="A32" s="51" t="s">
        <v>102</v>
      </c>
      <c r="B32" s="36" t="s">
        <v>103</v>
      </c>
      <c r="C32" s="37" t="s">
        <v>116</v>
      </c>
      <c r="D32" s="38"/>
      <c r="E32" s="38"/>
      <c r="F32" s="40">
        <f>16.5*(F29-0)/500</f>
        <v>0.34584</v>
      </c>
      <c r="G32" s="40">
        <f t="shared" si="11"/>
        <v>0.34584</v>
      </c>
      <c r="H32" s="39"/>
      <c r="I32" s="39"/>
      <c r="J32" s="38">
        <f>16.5*(J29-0)/500</f>
        <v>0.3195555</v>
      </c>
      <c r="K32" s="56">
        <f t="shared" si="12"/>
        <v>0.3195555</v>
      </c>
      <c r="L32" s="39">
        <f t="shared" si="13"/>
        <v>-0.03</v>
      </c>
      <c r="M32" s="60"/>
      <c r="N32" s="59"/>
    </row>
    <row r="33" s="12" customFormat="1" ht="25" customHeight="1" spans="1:14">
      <c r="A33" s="46" t="s">
        <v>64</v>
      </c>
      <c r="B33" s="31" t="s">
        <v>132</v>
      </c>
      <c r="C33" s="32" t="s">
        <v>116</v>
      </c>
      <c r="D33" s="38"/>
      <c r="E33" s="38"/>
      <c r="F33" s="49">
        <f>F34+F35</f>
        <v>15.65</v>
      </c>
      <c r="G33" s="33">
        <f t="shared" si="11"/>
        <v>15.65</v>
      </c>
      <c r="H33" s="39"/>
      <c r="I33" s="39"/>
      <c r="J33" s="49">
        <f>J34+J35</f>
        <v>17.313</v>
      </c>
      <c r="K33" s="33">
        <f t="shared" ref="K33:K35" si="14">J33</f>
        <v>17.313</v>
      </c>
      <c r="L33" s="34">
        <f t="shared" ref="L33:L38" si="15">ROUND(K33-G33,2)</f>
        <v>1.66</v>
      </c>
      <c r="M33" s="60"/>
      <c r="N33" s="59"/>
    </row>
    <row r="34" s="12" customFormat="1" ht="25" customHeight="1" spans="1:14">
      <c r="A34" s="51" t="s">
        <v>66</v>
      </c>
      <c r="B34" s="36" t="s">
        <v>133</v>
      </c>
      <c r="C34" s="37" t="s">
        <v>116</v>
      </c>
      <c r="D34" s="38"/>
      <c r="E34" s="38"/>
      <c r="F34" s="38">
        <v>15.09</v>
      </c>
      <c r="G34" s="40">
        <f t="shared" si="11"/>
        <v>15.09</v>
      </c>
      <c r="H34" s="39"/>
      <c r="I34" s="39"/>
      <c r="J34" s="56">
        <v>16.1</v>
      </c>
      <c r="K34" s="56">
        <f t="shared" si="14"/>
        <v>16.1</v>
      </c>
      <c r="L34" s="39">
        <f t="shared" si="15"/>
        <v>1.01</v>
      </c>
      <c r="M34" s="60" t="s">
        <v>121</v>
      </c>
      <c r="N34" s="59" t="str">
        <f>IF(L34&lt;0,B34&amp;"送审金额为"&amp;G34&amp;C34&amp;"，审定金额为"&amp;K34&amp;C34&amp;"，审减金额为"&amp;-L34&amp;"万元。主要原因是"&amp;M34&amp;"。",IF(L34&gt;0,B34&amp;"送审金额为"&amp;G34&amp;C34&amp;"，审定金额为"&amp;K34&amp;C34&amp;"，审增金额为"&amp;L34&amp;"万元。主要原因是"&amp;M34&amp;"。",""""))</f>
        <v>项目建设管理费送审金额为15.09万元，审定金额为16.1万元，审增金额为1.01万元。主要原因是取费基数、费率的调整。</v>
      </c>
    </row>
    <row r="35" s="12" customFormat="1" ht="25" customHeight="1" spans="1:14">
      <c r="A35" s="51" t="s">
        <v>32</v>
      </c>
      <c r="B35" s="36" t="s">
        <v>134</v>
      </c>
      <c r="C35" s="37" t="s">
        <v>116</v>
      </c>
      <c r="D35" s="38"/>
      <c r="E35" s="38"/>
      <c r="F35" s="38">
        <v>0.56</v>
      </c>
      <c r="G35" s="40">
        <f t="shared" si="11"/>
        <v>0.56</v>
      </c>
      <c r="H35" s="39"/>
      <c r="I35" s="39"/>
      <c r="J35" s="56">
        <v>1.213</v>
      </c>
      <c r="K35" s="56">
        <f t="shared" si="14"/>
        <v>1.213</v>
      </c>
      <c r="L35" s="39">
        <f t="shared" si="15"/>
        <v>0.65</v>
      </c>
      <c r="M35" s="60" t="s">
        <v>121</v>
      </c>
      <c r="N35" s="59" t="str">
        <f>IF(L35&lt;0,B35&amp;"送审金额为"&amp;G35&amp;C35&amp;"，审定金额为"&amp;K35&amp;C35&amp;"，审减金额为"&amp;-L35&amp;"万元。主要原因是"&amp;M35&amp;"。",IF(L35&gt;0,B35&amp;"送审金额为"&amp;G35&amp;C35&amp;"，审定金额为"&amp;K35&amp;C35&amp;"，审增金额为"&amp;L35&amp;"万元。主要原因是"&amp;M35&amp;"。",""""))</f>
        <v>建设工程招标投标交易服务费送审金额为0.56万元，审定金额为1.213万元，审增金额为0.65万元。主要原因是取费基数、费率的调整。</v>
      </c>
    </row>
    <row r="36" s="12" customFormat="1" ht="25" customHeight="1" spans="1:14">
      <c r="A36" s="46" t="s">
        <v>71</v>
      </c>
      <c r="B36" s="31" t="s">
        <v>135</v>
      </c>
      <c r="C36" s="32" t="s">
        <v>116</v>
      </c>
      <c r="D36" s="38"/>
      <c r="E36" s="38"/>
      <c r="F36" s="49">
        <f>F37+F38</f>
        <v>12.13685</v>
      </c>
      <c r="G36" s="33">
        <f t="shared" si="11"/>
        <v>12.13685</v>
      </c>
      <c r="H36" s="39"/>
      <c r="I36" s="39"/>
      <c r="J36" s="49">
        <f>J37+J38</f>
        <v>8.1545</v>
      </c>
      <c r="K36" s="33">
        <f t="shared" ref="K36:K42" si="16">J36</f>
        <v>8.1545</v>
      </c>
      <c r="L36" s="34">
        <f t="shared" si="15"/>
        <v>-3.98</v>
      </c>
      <c r="M36" s="60"/>
      <c r="N36" s="59"/>
    </row>
    <row r="37" s="12" customFormat="1" ht="25" customHeight="1" spans="1:14">
      <c r="A37" s="51" t="s">
        <v>66</v>
      </c>
      <c r="B37" s="36" t="s">
        <v>136</v>
      </c>
      <c r="C37" s="37" t="s">
        <v>116</v>
      </c>
      <c r="D37" s="38"/>
      <c r="E37" s="38"/>
      <c r="F37" s="38">
        <f>G5*0.5%</f>
        <v>5.51685</v>
      </c>
      <c r="G37" s="40">
        <f t="shared" si="11"/>
        <v>5.51685</v>
      </c>
      <c r="H37" s="39"/>
      <c r="I37" s="39"/>
      <c r="J37" s="56">
        <v>5.0966</v>
      </c>
      <c r="K37" s="56">
        <f t="shared" si="16"/>
        <v>5.0966</v>
      </c>
      <c r="L37" s="39">
        <f t="shared" si="15"/>
        <v>-0.42</v>
      </c>
      <c r="M37" s="60"/>
      <c r="N37" s="59" t="str">
        <f>IF(L37&lt;0,B37&amp;"送审金额为"&amp;G37&amp;C37&amp;"，审定金额为"&amp;K37&amp;C37&amp;"，审减金额为"&amp;-L37&amp;"万元。主要原因是"&amp;M37&amp;"。",IF(L37&gt;0,B37&amp;"送审金额为"&amp;G37&amp;C37&amp;"，审定金额为"&amp;K37&amp;C37&amp;"，审增金额为"&amp;L37&amp;"万元。主要原因是"&amp;M37&amp;"。",""""))</f>
        <v>场地准备及临时设施费送审金额为5.51685万元，审定金额为5.0966万元，审减金额为0.42万元。主要原因是。</v>
      </c>
    </row>
    <row r="38" s="12" customFormat="1" ht="25" customHeight="1" spans="1:14">
      <c r="A38" s="51" t="s">
        <v>32</v>
      </c>
      <c r="B38" s="36" t="s">
        <v>137</v>
      </c>
      <c r="C38" s="37" t="s">
        <v>116</v>
      </c>
      <c r="D38" s="38"/>
      <c r="E38" s="38"/>
      <c r="F38" s="38">
        <v>6.62</v>
      </c>
      <c r="G38" s="40">
        <f t="shared" ref="G38:G42" si="17">F38</f>
        <v>6.62</v>
      </c>
      <c r="H38" s="39"/>
      <c r="I38" s="39"/>
      <c r="J38" s="56">
        <v>3.0579</v>
      </c>
      <c r="K38" s="56">
        <f t="shared" si="16"/>
        <v>3.0579</v>
      </c>
      <c r="L38" s="39">
        <f t="shared" si="15"/>
        <v>-3.56</v>
      </c>
      <c r="M38" s="60" t="s">
        <v>121</v>
      </c>
      <c r="N38" s="59" t="str">
        <f>IF(L38&lt;0,B38&amp;"送审金额为"&amp;G38&amp;C38&amp;"，审定金额为"&amp;K38&amp;C38&amp;"，审减金额为"&amp;-L38&amp;"万元。主要原因是"&amp;M38&amp;"。",IF(L38&gt;0,B38&amp;"送审金额为"&amp;G38&amp;C38&amp;"，审定金额为"&amp;K38&amp;C38&amp;"，审增金额为"&amp;L38&amp;"万元。主要原因是"&amp;M38&amp;"。",""""))</f>
        <v>工程保险费送审金额为6.62万元，审定金额为3.0579万元，审减金额为3.56万元。主要原因是取费基数、费率的调整。</v>
      </c>
    </row>
    <row r="39" s="12" customFormat="1" ht="25" customHeight="1" spans="1:13">
      <c r="A39" s="42" t="s">
        <v>76</v>
      </c>
      <c r="B39" s="31" t="s">
        <v>77</v>
      </c>
      <c r="C39" s="37" t="s">
        <v>116</v>
      </c>
      <c r="D39" s="53"/>
      <c r="E39" s="53"/>
      <c r="F39" s="44">
        <f>F40</f>
        <v>61.07</v>
      </c>
      <c r="G39" s="45">
        <f t="shared" si="17"/>
        <v>61.07</v>
      </c>
      <c r="H39" s="39"/>
      <c r="I39" s="39"/>
      <c r="J39" s="44">
        <f>J40</f>
        <v>57.57</v>
      </c>
      <c r="K39" s="45">
        <f t="shared" si="16"/>
        <v>57.57</v>
      </c>
      <c r="L39" s="39">
        <f t="shared" ref="L38:L43" si="18">ROUND(K39-G39,2)</f>
        <v>-3.5</v>
      </c>
      <c r="M39" s="58"/>
    </row>
    <row r="40" s="12" customFormat="1" ht="25" customHeight="1" spans="1:14">
      <c r="A40" s="54">
        <v>1</v>
      </c>
      <c r="B40" s="36" t="s">
        <v>78</v>
      </c>
      <c r="C40" s="37" t="s">
        <v>116</v>
      </c>
      <c r="D40" s="53"/>
      <c r="E40" s="53"/>
      <c r="F40" s="55">
        <f>ROUND((G5+G9)*5%,2)</f>
        <v>61.07</v>
      </c>
      <c r="G40" s="56">
        <f t="shared" si="17"/>
        <v>61.07</v>
      </c>
      <c r="H40" s="39"/>
      <c r="I40" s="39"/>
      <c r="J40" s="55">
        <f>ROUND((K5+K9)*5%,2)</f>
        <v>57.57</v>
      </c>
      <c r="K40" s="56">
        <f t="shared" si="16"/>
        <v>57.57</v>
      </c>
      <c r="L40" s="39">
        <f t="shared" si="18"/>
        <v>-3.5</v>
      </c>
      <c r="M40" s="60" t="s">
        <v>119</v>
      </c>
      <c r="N40" s="59" t="str">
        <f>IF(L40&lt;0,B40&amp;"送审金额为"&amp;G40&amp;C40&amp;"，审定金额为"&amp;K40&amp;C40&amp;"，审减金额为"&amp;-L40&amp;"万元。主要原因是"&amp;M40&amp;"。",IF(L40&gt;0,B40&amp;"送审金额为"&amp;G40&amp;C40&amp;"，审定金额为"&amp;K40&amp;C40&amp;"，审增金额为"&amp;L40&amp;"万元。主要原因是"&amp;M40&amp;"。",""""))</f>
        <v>基本预备费送审金额为61.07万元，审定金额为57.57万元，审减金额为3.5万元。主要原因是取费基数的减少。</v>
      </c>
    </row>
    <row r="41" s="13" customFormat="1" ht="25" customHeight="1" spans="1:14">
      <c r="A41" s="42" t="s">
        <v>80</v>
      </c>
      <c r="B41" s="31" t="s">
        <v>107</v>
      </c>
      <c r="C41" s="37" t="s">
        <v>116</v>
      </c>
      <c r="D41" s="43"/>
      <c r="E41" s="43"/>
      <c r="F41" s="44">
        <f>F42</f>
        <v>0</v>
      </c>
      <c r="G41" s="45">
        <f t="shared" si="17"/>
        <v>0</v>
      </c>
      <c r="H41" s="34"/>
      <c r="I41" s="34"/>
      <c r="J41" s="44">
        <f>J42</f>
        <v>0</v>
      </c>
      <c r="K41" s="45">
        <f t="shared" si="16"/>
        <v>0</v>
      </c>
      <c r="L41" s="34"/>
      <c r="M41" s="99"/>
      <c r="N41" s="100"/>
    </row>
    <row r="42" s="12" customFormat="1" ht="25" customHeight="1" spans="1:14">
      <c r="A42" s="54">
        <v>1</v>
      </c>
      <c r="B42" s="36" t="s">
        <v>107</v>
      </c>
      <c r="C42" s="37" t="s">
        <v>116</v>
      </c>
      <c r="D42" s="53"/>
      <c r="E42" s="53"/>
      <c r="F42" s="55">
        <v>0</v>
      </c>
      <c r="G42" s="56">
        <f t="shared" si="17"/>
        <v>0</v>
      </c>
      <c r="H42" s="39"/>
      <c r="I42" s="39"/>
      <c r="J42" s="55">
        <v>0</v>
      </c>
      <c r="K42" s="56">
        <f t="shared" si="16"/>
        <v>0</v>
      </c>
      <c r="L42" s="39">
        <f t="shared" si="18"/>
        <v>0</v>
      </c>
      <c r="M42" s="60" t="s">
        <v>119</v>
      </c>
      <c r="N42" s="59" t="str">
        <f>IF(L42&lt;0,B42&amp;"送审金额为"&amp;G42&amp;C42&amp;"，审定金额为"&amp;K42&amp;C42&amp;"，审减金额为"&amp;-L42&amp;"万元。主要原因是"&amp;M42&amp;"。",IF(L42&gt;0,B42&amp;"送审金额为"&amp;G42&amp;C42&amp;"，审定金额为"&amp;K42&amp;C42&amp;"，审增金额为"&amp;L42&amp;"万元。主要原因是"&amp;M42&amp;"。",""""))</f>
        <v>"</v>
      </c>
    </row>
    <row r="43" s="12" customFormat="1" ht="25" customHeight="1" spans="1:13">
      <c r="A43" s="42" t="s">
        <v>108</v>
      </c>
      <c r="B43" s="31" t="s">
        <v>81</v>
      </c>
      <c r="C43" s="37" t="s">
        <v>116</v>
      </c>
      <c r="D43" s="53"/>
      <c r="E43" s="53"/>
      <c r="F43" s="44"/>
      <c r="G43" s="45">
        <f>G5+G9+G41+G39</f>
        <v>1282.55149</v>
      </c>
      <c r="H43" s="39"/>
      <c r="I43" s="39"/>
      <c r="J43" s="45"/>
      <c r="K43" s="45">
        <f>K5+K9+K39</f>
        <v>1208.9005555</v>
      </c>
      <c r="L43" s="34">
        <f t="shared" si="18"/>
        <v>-73.65</v>
      </c>
      <c r="M43" s="58"/>
    </row>
    <row r="44" s="12" customFormat="1" customHeight="1" spans="1:16384">
      <c r="A44" s="14"/>
      <c r="B44" s="15"/>
      <c r="C44" s="16"/>
      <c r="D44" s="16"/>
      <c r="E44" s="16"/>
      <c r="F44" s="17"/>
      <c r="G44" s="18"/>
      <c r="H44" s="18"/>
      <c r="I44" s="18"/>
      <c r="J44" s="18"/>
      <c r="K44" s="18"/>
      <c r="L44" s="18"/>
      <c r="M44" s="16"/>
      <c r="XFD44"/>
    </row>
    <row r="45" s="12" customFormat="1" customHeight="1" spans="1:16384">
      <c r="A45" s="14"/>
      <c r="B45" s="15"/>
      <c r="C45" s="16"/>
      <c r="D45" s="16"/>
      <c r="E45" s="16"/>
      <c r="F45" s="17"/>
      <c r="G45" s="18"/>
      <c r="H45" s="18"/>
      <c r="I45" s="18"/>
      <c r="J45" s="18"/>
      <c r="K45" s="18"/>
      <c r="L45" s="18"/>
      <c r="M45" s="16"/>
      <c r="XFD45"/>
    </row>
    <row r="46" s="12" customFormat="1" customHeight="1" spans="1:16384">
      <c r="A46" s="14"/>
      <c r="B46" s="15"/>
      <c r="C46" s="16"/>
      <c r="D46" s="16"/>
      <c r="E46" s="16"/>
      <c r="F46" s="17"/>
      <c r="G46" s="18"/>
      <c r="H46" s="18"/>
      <c r="I46" s="18"/>
      <c r="J46" s="18"/>
      <c r="K46" s="18"/>
      <c r="L46" s="18"/>
      <c r="M46" s="16"/>
      <c r="XFD46"/>
    </row>
    <row r="47" s="12" customFormat="1" customHeight="1" spans="1:16384">
      <c r="A47" s="14"/>
      <c r="B47" s="15"/>
      <c r="C47" s="16"/>
      <c r="D47" s="16"/>
      <c r="E47" s="16"/>
      <c r="F47" s="17"/>
      <c r="G47" s="18"/>
      <c r="H47" s="18"/>
      <c r="I47" s="18"/>
      <c r="J47" s="18"/>
      <c r="K47" s="18"/>
      <c r="L47" s="18"/>
      <c r="M47" s="16"/>
      <c r="XFD47"/>
    </row>
    <row r="48" s="12" customFormat="1" customHeight="1" spans="1:16384">
      <c r="A48" s="14"/>
      <c r="B48" s="15"/>
      <c r="C48" s="16"/>
      <c r="D48" s="16"/>
      <c r="E48" s="16"/>
      <c r="F48" s="17"/>
      <c r="G48" s="18"/>
      <c r="H48" s="18"/>
      <c r="I48" s="18"/>
      <c r="J48" s="18"/>
      <c r="K48" s="18"/>
      <c r="L48" s="18"/>
      <c r="M48" s="16"/>
      <c r="XFD48"/>
    </row>
    <row r="49" s="12" customFormat="1" customHeight="1" spans="1:16384">
      <c r="A49" s="14"/>
      <c r="B49" s="15"/>
      <c r="C49" s="16"/>
      <c r="D49" s="16"/>
      <c r="E49" s="16"/>
      <c r="F49" s="17"/>
      <c r="G49" s="18"/>
      <c r="H49" s="18"/>
      <c r="I49" s="18"/>
      <c r="J49" s="18"/>
      <c r="K49" s="18"/>
      <c r="L49" s="18"/>
      <c r="M49" s="16"/>
      <c r="XFD49"/>
    </row>
    <row r="50" s="12" customFormat="1" customHeight="1" spans="1:16384">
      <c r="A50" s="14"/>
      <c r="B50" s="15"/>
      <c r="C50" s="16"/>
      <c r="D50" s="16"/>
      <c r="E50" s="16"/>
      <c r="F50" s="17"/>
      <c r="G50" s="18"/>
      <c r="H50" s="18"/>
      <c r="I50" s="18"/>
      <c r="J50" s="18"/>
      <c r="K50" s="18"/>
      <c r="L50" s="18"/>
      <c r="M50" s="16"/>
      <c r="XFD50"/>
    </row>
  </sheetData>
  <mergeCells count="9">
    <mergeCell ref="A1:M1"/>
    <mergeCell ref="A2:M2"/>
    <mergeCell ref="D3:G3"/>
    <mergeCell ref="H3:K3"/>
    <mergeCell ref="A3:A4"/>
    <mergeCell ref="B3:B4"/>
    <mergeCell ref="C3:C4"/>
    <mergeCell ref="L3:L4"/>
    <mergeCell ref="M3:M4"/>
  </mergeCells>
  <pageMargins left="0.751388888888889" right="0.751388888888889" top="1" bottom="1" header="0.5" footer="0.5"/>
  <pageSetup paperSize="9" scale="81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0"/>
  <sheetViews>
    <sheetView view="pageBreakPreview" zoomScaleNormal="100" topLeftCell="K1" workbookViewId="0">
      <pane ySplit="4" topLeftCell="A32" activePane="bottomLeft" state="frozen"/>
      <selection/>
      <selection pane="bottomLeft" activeCell="Q44" sqref="Q44"/>
    </sheetView>
  </sheetViews>
  <sheetFormatPr defaultColWidth="9" defaultRowHeight="18.75" customHeight="1"/>
  <cols>
    <col min="1" max="1" width="6.9" style="14" customWidth="1"/>
    <col min="2" max="2" width="28.25" style="15" customWidth="1"/>
    <col min="3" max="3" width="7.25" style="16" customWidth="1"/>
    <col min="4" max="4" width="9.5" style="16" customWidth="1"/>
    <col min="5" max="5" width="9.2" style="16" customWidth="1"/>
    <col min="6" max="6" width="9.2" style="17" customWidth="1"/>
    <col min="7" max="8" width="9.5" style="18" customWidth="1"/>
    <col min="9" max="10" width="9.2" style="18" customWidth="1"/>
    <col min="11" max="11" width="9.5" style="18" customWidth="1"/>
    <col min="12" max="12" width="10" style="18" customWidth="1"/>
    <col min="13" max="13" width="15.7" style="16" customWidth="1"/>
    <col min="14" max="14" width="9" style="12" customWidth="1"/>
    <col min="15" max="15" width="14.2" style="12" customWidth="1"/>
    <col min="16" max="16383" width="9" style="12"/>
  </cols>
  <sheetData>
    <row r="1" s="12" customFormat="1" ht="28.5" customHeight="1" spans="1:13">
      <c r="A1" s="19" t="s">
        <v>109</v>
      </c>
      <c r="B1" s="20"/>
      <c r="C1" s="19"/>
      <c r="D1" s="19"/>
      <c r="E1" s="19"/>
      <c r="F1" s="21"/>
      <c r="G1" s="19"/>
      <c r="H1" s="19"/>
      <c r="I1" s="19"/>
      <c r="J1" s="19"/>
      <c r="K1" s="19"/>
      <c r="L1" s="19"/>
      <c r="M1" s="19"/>
    </row>
    <row r="2" s="12" customFormat="1" ht="24.75" customHeight="1" spans="1:13">
      <c r="A2" s="22" t="s">
        <v>139</v>
      </c>
      <c r="B2" s="22"/>
      <c r="C2" s="23"/>
      <c r="D2" s="23"/>
      <c r="E2" s="23"/>
      <c r="F2" s="24"/>
      <c r="G2" s="23"/>
      <c r="H2" s="23"/>
      <c r="I2" s="23"/>
      <c r="J2" s="23"/>
      <c r="K2" s="23"/>
      <c r="L2" s="23"/>
      <c r="M2" s="23"/>
    </row>
    <row r="3" s="12" customFormat="1" ht="20" customHeight="1" spans="1:13">
      <c r="A3" s="25" t="s">
        <v>2</v>
      </c>
      <c r="B3" s="26" t="s">
        <v>3</v>
      </c>
      <c r="C3" s="27" t="s">
        <v>111</v>
      </c>
      <c r="D3" s="28" t="s">
        <v>112</v>
      </c>
      <c r="E3" s="28"/>
      <c r="F3" s="28"/>
      <c r="G3" s="28"/>
      <c r="H3" s="28" t="s">
        <v>113</v>
      </c>
      <c r="I3" s="28"/>
      <c r="J3" s="28"/>
      <c r="K3" s="28"/>
      <c r="L3" s="28" t="s">
        <v>114</v>
      </c>
      <c r="M3" s="57" t="s">
        <v>6</v>
      </c>
    </row>
    <row r="4" s="12" customFormat="1" ht="32" customHeight="1" spans="1:13">
      <c r="A4" s="25"/>
      <c r="B4" s="26"/>
      <c r="C4" s="27"/>
      <c r="D4" s="27" t="s">
        <v>115</v>
      </c>
      <c r="E4" s="27" t="s">
        <v>8</v>
      </c>
      <c r="F4" s="29" t="s">
        <v>9</v>
      </c>
      <c r="G4" s="28" t="s">
        <v>10</v>
      </c>
      <c r="H4" s="27" t="s">
        <v>115</v>
      </c>
      <c r="I4" s="27" t="s">
        <v>8</v>
      </c>
      <c r="J4" s="29" t="s">
        <v>9</v>
      </c>
      <c r="K4" s="28" t="s">
        <v>10</v>
      </c>
      <c r="L4" s="28"/>
      <c r="M4" s="57"/>
    </row>
    <row r="5" s="13" customFormat="1" ht="25" customHeight="1" spans="1:14">
      <c r="A5" s="30" t="s">
        <v>11</v>
      </c>
      <c r="B5" s="31" t="s">
        <v>12</v>
      </c>
      <c r="C5" s="32" t="s">
        <v>116</v>
      </c>
      <c r="D5" s="33">
        <f>D6+D7+D8</f>
        <v>3000.8248</v>
      </c>
      <c r="E5" s="33">
        <f>E6+E7</f>
        <v>0</v>
      </c>
      <c r="F5" s="34"/>
      <c r="G5" s="34">
        <f t="shared" ref="G5:G8" si="0">D5+E5</f>
        <v>3000.8248</v>
      </c>
      <c r="H5" s="33">
        <f>H6+H7+H8</f>
        <v>2927.8094</v>
      </c>
      <c r="I5" s="33">
        <f>I6+I7</f>
        <v>0</v>
      </c>
      <c r="J5" s="34"/>
      <c r="K5" s="34">
        <f t="shared" ref="K5:K8" si="1">H5+I5</f>
        <v>2927.8094</v>
      </c>
      <c r="L5" s="34">
        <f t="shared" ref="L5:L11" si="2">K5-G5</f>
        <v>-73.0153999999998</v>
      </c>
      <c r="M5" s="58"/>
      <c r="N5" s="59"/>
    </row>
    <row r="6" s="13" customFormat="1" ht="22.5" spans="1:14">
      <c r="A6" s="35">
        <v>1</v>
      </c>
      <c r="B6" s="97" t="s">
        <v>84</v>
      </c>
      <c r="C6" s="37" t="s">
        <v>116</v>
      </c>
      <c r="D6" s="38"/>
      <c r="E6" s="38"/>
      <c r="F6" s="34"/>
      <c r="G6" s="39"/>
      <c r="H6" s="39"/>
      <c r="I6" s="39"/>
      <c r="J6" s="39"/>
      <c r="K6" s="39"/>
      <c r="L6" s="39"/>
      <c r="M6" s="58"/>
      <c r="N6" s="59" t="str">
        <f>IF(L6&lt;0,B6&amp;"送审金额为"&amp;G6&amp;C6&amp;"，审定金额为"&amp;K6&amp;C6&amp;"，审减金额为"&amp;-L6&amp;"万元。主要原因是"&amp;M6&amp;"。",IF(L6&gt;0,B6&amp;"送审金额为"&amp;G6&amp;C6&amp;"，审定金额为"&amp;K6&amp;C6&amp;"，审增金额为"&amp;L6&amp;"万元。主要原因是"&amp;M6&amp;"。",""""))</f>
        <v>"</v>
      </c>
    </row>
    <row r="7" s="13" customFormat="1" ht="22.5" spans="1:14">
      <c r="A7" s="35">
        <v>2</v>
      </c>
      <c r="B7" s="97" t="s">
        <v>85</v>
      </c>
      <c r="C7" s="37" t="s">
        <v>116</v>
      </c>
      <c r="D7" s="38"/>
      <c r="E7" s="38"/>
      <c r="F7" s="34"/>
      <c r="G7" s="39"/>
      <c r="H7" s="39"/>
      <c r="I7" s="39"/>
      <c r="J7" s="39"/>
      <c r="K7" s="39"/>
      <c r="L7" s="39"/>
      <c r="M7" s="58"/>
      <c r="N7" s="59" t="str">
        <f>IF(L7&lt;0,B7&amp;"送审金额为"&amp;G7&amp;C7&amp;"，审定金额为"&amp;K7&amp;C7&amp;"，审减金额为"&amp;-L7&amp;"万元。主要原因是"&amp;M7&amp;"。",IF(L7&gt;0,B7&amp;"送审金额为"&amp;G7&amp;C7&amp;"，审定金额为"&amp;K7&amp;C7&amp;"，审增金额为"&amp;L7&amp;"万元。主要原因是"&amp;M7&amp;"。",""""))</f>
        <v>"</v>
      </c>
    </row>
    <row r="8" s="13" customFormat="1" ht="22.5" spans="1:14">
      <c r="A8" s="35">
        <v>3</v>
      </c>
      <c r="B8" s="97" t="s">
        <v>86</v>
      </c>
      <c r="C8" s="37" t="s">
        <v>116</v>
      </c>
      <c r="D8" s="38">
        <v>3000.8248</v>
      </c>
      <c r="E8" s="38"/>
      <c r="F8" s="34"/>
      <c r="G8" s="39">
        <f t="shared" si="0"/>
        <v>3000.8248</v>
      </c>
      <c r="H8" s="39">
        <v>2927.8094</v>
      </c>
      <c r="I8" s="39"/>
      <c r="J8" s="39"/>
      <c r="K8" s="39">
        <f t="shared" si="1"/>
        <v>2927.8094</v>
      </c>
      <c r="L8" s="39">
        <f t="shared" si="2"/>
        <v>-73.0153999999998</v>
      </c>
      <c r="M8" s="58"/>
      <c r="N8" s="59"/>
    </row>
    <row r="9" s="13" customFormat="1" ht="25" customHeight="1" spans="1:13">
      <c r="A9" s="42" t="s">
        <v>16</v>
      </c>
      <c r="B9" s="31" t="s">
        <v>17</v>
      </c>
      <c r="C9" s="32" t="s">
        <v>116</v>
      </c>
      <c r="D9" s="43"/>
      <c r="E9" s="43"/>
      <c r="F9" s="44">
        <f>F10+F11+F33+F36</f>
        <v>235.6711</v>
      </c>
      <c r="G9" s="45">
        <f t="shared" ref="G9:G13" si="3">F9</f>
        <v>235.6711</v>
      </c>
      <c r="H9" s="34"/>
      <c r="I9" s="34"/>
      <c r="J9" s="44">
        <f>J10+J11+J33+J36</f>
        <v>226.048</v>
      </c>
      <c r="K9" s="45">
        <f t="shared" ref="K9:K13" si="4">J9</f>
        <v>226.048</v>
      </c>
      <c r="L9" s="34">
        <f t="shared" si="2"/>
        <v>-9.62310000000002</v>
      </c>
      <c r="M9" s="58"/>
    </row>
    <row r="10" s="13" customFormat="1" ht="25" customHeight="1" spans="1:13">
      <c r="A10" s="46" t="s">
        <v>19</v>
      </c>
      <c r="B10" s="47" t="s">
        <v>20</v>
      </c>
      <c r="C10" s="32" t="s">
        <v>116</v>
      </c>
      <c r="D10" s="38"/>
      <c r="E10" s="48"/>
      <c r="F10" s="49">
        <v>0</v>
      </c>
      <c r="G10" s="33">
        <f t="shared" si="3"/>
        <v>0</v>
      </c>
      <c r="H10" s="34"/>
      <c r="I10" s="34"/>
      <c r="J10" s="49">
        <v>0</v>
      </c>
      <c r="K10" s="33">
        <f t="shared" si="4"/>
        <v>0</v>
      </c>
      <c r="L10" s="34">
        <f t="shared" si="2"/>
        <v>0</v>
      </c>
      <c r="M10" s="58"/>
    </row>
    <row r="11" s="12" customFormat="1" ht="25" customHeight="1" spans="1:14">
      <c r="A11" s="46" t="s">
        <v>22</v>
      </c>
      <c r="B11" s="47" t="s">
        <v>23</v>
      </c>
      <c r="C11" s="32" t="s">
        <v>116</v>
      </c>
      <c r="D11" s="38"/>
      <c r="E11" s="38"/>
      <c r="F11" s="49">
        <f>F12+F16+F17+F18+F19+F29+F30+F25+F26+F27+F28</f>
        <v>183.8977</v>
      </c>
      <c r="G11" s="33">
        <f t="shared" si="3"/>
        <v>183.8977</v>
      </c>
      <c r="H11" s="39"/>
      <c r="I11" s="39"/>
      <c r="J11" s="49">
        <f>J12+J16+J17+J18+J19+J29+J30+J25+J26+J27+J28</f>
        <v>175.6305</v>
      </c>
      <c r="K11" s="45">
        <f t="shared" si="4"/>
        <v>175.6305</v>
      </c>
      <c r="L11" s="34">
        <f t="shared" si="2"/>
        <v>-8.26720000000003</v>
      </c>
      <c r="M11" s="58"/>
      <c r="N11" s="59"/>
    </row>
    <row r="12" s="12" customFormat="1" ht="25" customHeight="1" spans="1:14">
      <c r="A12" s="50">
        <v>1</v>
      </c>
      <c r="B12" s="36" t="s">
        <v>117</v>
      </c>
      <c r="C12" s="37" t="s">
        <v>116</v>
      </c>
      <c r="D12" s="38"/>
      <c r="E12" s="38"/>
      <c r="F12" s="38">
        <f>F13+F14+F15</f>
        <v>13.1126</v>
      </c>
      <c r="G12" s="40">
        <f t="shared" si="3"/>
        <v>13.1126</v>
      </c>
      <c r="H12" s="39"/>
      <c r="I12" s="39"/>
      <c r="J12" s="38">
        <f>J13+J14+J15</f>
        <v>12.8416</v>
      </c>
      <c r="K12" s="40">
        <f t="shared" si="4"/>
        <v>12.8416</v>
      </c>
      <c r="L12" s="39">
        <f t="shared" ref="L12:L23" si="5">ROUND(K12-G12,2)</f>
        <v>-0.27</v>
      </c>
      <c r="M12" s="60"/>
      <c r="N12" s="59" t="str">
        <f>IF(L12&lt;0,B12&amp;"送审金额为"&amp;G12&amp;C12&amp;"，审定金额为"&amp;K12&amp;C12&amp;"，审减金额为"&amp;-L12&amp;"。主要原因是"&amp;M12&amp;"。",IF(L12&gt;0,B12&amp;"送审金额为"&amp;G12&amp;C12&amp;"万元，审定金额为"&amp;K12&amp;C12&amp;"万元，审增金额为"&amp;L12&amp;"万元。主要原因是"&amp;M12&amp;"。",""""))</f>
        <v>前期工作咨询费送审金额为13.1126万元，审定金额为12.8416万元，审减金额为0.27。主要原因是。</v>
      </c>
    </row>
    <row r="13" s="12" customFormat="1" ht="25" customHeight="1" spans="1:14">
      <c r="A13" s="51" t="s">
        <v>26</v>
      </c>
      <c r="B13" s="36" t="s">
        <v>118</v>
      </c>
      <c r="C13" s="37" t="s">
        <v>116</v>
      </c>
      <c r="D13" s="38"/>
      <c r="E13" s="38"/>
      <c r="F13" s="38">
        <v>10.11</v>
      </c>
      <c r="G13" s="40">
        <f t="shared" si="3"/>
        <v>10.11</v>
      </c>
      <c r="H13" s="39"/>
      <c r="I13" s="39"/>
      <c r="J13" s="56">
        <v>9.8625</v>
      </c>
      <c r="K13" s="40">
        <f t="shared" si="4"/>
        <v>9.8625</v>
      </c>
      <c r="L13" s="39"/>
      <c r="M13" s="60"/>
      <c r="N13" s="59" t="str">
        <f>IF(L13&lt;0,B13&amp;"送审金额为"&amp;G13&amp;C13&amp;"，审定金额为"&amp;K13&amp;C13&amp;"，审减金额为"&amp;-L13&amp;"。主要原因是"&amp;M13&amp;"。",IF(L13&gt;0,B13&amp;"送审金额为"&amp;G13&amp;C13&amp;"万元，审定金额为"&amp;K13&amp;C13&amp;"万元，审增金额为"&amp;L13&amp;"万元。主要原因是"&amp;M13&amp;"。",""""))</f>
        <v>"</v>
      </c>
    </row>
    <row r="14" s="12" customFormat="1" ht="25" customHeight="1" spans="1:14">
      <c r="A14" s="51" t="s">
        <v>29</v>
      </c>
      <c r="B14" s="93" t="s">
        <v>30</v>
      </c>
      <c r="C14" s="37" t="s">
        <v>116</v>
      </c>
      <c r="D14" s="38"/>
      <c r="E14" s="38"/>
      <c r="F14" s="38"/>
      <c r="G14" s="40"/>
      <c r="H14" s="39"/>
      <c r="I14" s="39"/>
      <c r="J14" s="56"/>
      <c r="K14" s="40"/>
      <c r="L14" s="39"/>
      <c r="M14" s="60"/>
      <c r="N14" s="59" t="str">
        <f>IF(L14&lt;0,B14&amp;"送审金额为"&amp;G14&amp;C14&amp;"，审定金额为"&amp;K14&amp;C14&amp;"，审减金额为"&amp;-L14&amp;"。主要原因是"&amp;M14&amp;"。",IF(L14&gt;0,B14&amp;"送审金额为"&amp;G14&amp;C14&amp;"万元，审定金额为"&amp;K14&amp;C14&amp;"万元，审增金额为"&amp;L14&amp;"万元。主要原因是"&amp;M14&amp;"。",""""))</f>
        <v>"</v>
      </c>
    </row>
    <row r="15" s="12" customFormat="1" ht="25" customHeight="1" spans="1:14">
      <c r="A15" s="51" t="s">
        <v>88</v>
      </c>
      <c r="B15" s="93" t="s">
        <v>89</v>
      </c>
      <c r="C15" s="37" t="s">
        <v>116</v>
      </c>
      <c r="D15" s="38"/>
      <c r="E15" s="38"/>
      <c r="F15" s="38">
        <v>3.0026</v>
      </c>
      <c r="G15" s="40">
        <f>F15</f>
        <v>3.0026</v>
      </c>
      <c r="H15" s="39"/>
      <c r="I15" s="39"/>
      <c r="J15" s="56">
        <v>2.9791</v>
      </c>
      <c r="K15" s="40">
        <f>J15</f>
        <v>2.9791</v>
      </c>
      <c r="L15" s="39"/>
      <c r="M15" s="60"/>
      <c r="N15" s="59" t="str">
        <f>IF(L15&lt;0,B15&amp;"送审金额为"&amp;G15&amp;C15&amp;"，审定金额为"&amp;K15&amp;C15&amp;"，审减金额为"&amp;-L15&amp;"。主要原因是"&amp;M15&amp;"。",IF(L15&gt;0,B15&amp;"送审金额为"&amp;G15&amp;C15&amp;"万元，审定金额为"&amp;K15&amp;C15&amp;"万元，审增金额为"&amp;L15&amp;"万元。主要原因是"&amp;M15&amp;"。",""""))</f>
        <v>"</v>
      </c>
    </row>
    <row r="16" s="12" customFormat="1" ht="25" customHeight="1" spans="1:14">
      <c r="A16" s="51" t="s">
        <v>32</v>
      </c>
      <c r="B16" s="36" t="s">
        <v>120</v>
      </c>
      <c r="C16" s="37" t="s">
        <v>116</v>
      </c>
      <c r="D16" s="38"/>
      <c r="E16" s="38"/>
      <c r="F16" s="38">
        <v>81.3546</v>
      </c>
      <c r="G16" s="40">
        <f t="shared" ref="G15:G23" si="6">F16</f>
        <v>81.3546</v>
      </c>
      <c r="H16" s="39"/>
      <c r="I16" s="39"/>
      <c r="J16" s="56">
        <v>79.4701</v>
      </c>
      <c r="K16" s="40">
        <f t="shared" ref="K15:K23" si="7">J16</f>
        <v>79.4701</v>
      </c>
      <c r="L16" s="39">
        <f t="shared" si="5"/>
        <v>-1.88</v>
      </c>
      <c r="M16" s="60" t="s">
        <v>119</v>
      </c>
      <c r="N16" s="59" t="str">
        <f>IF(L16&lt;0,B16&amp;"送审金额为"&amp;G16&amp;C16&amp;"，审定金额为"&amp;K16&amp;C16&amp;"，审减金额为"&amp;-L16&amp;"。主要原因是"&amp;M16&amp;"。",IF(L16&gt;0,B16&amp;"送审金额为"&amp;G16&amp;C16&amp;"万元，审定金额为"&amp;K16&amp;C16&amp;"万元，审增金额为"&amp;L16&amp;"万元。主要原因是"&amp;M16&amp;"。",""""))</f>
        <v>工程设计费送审金额为81.3546万元，审定金额为79.4701万元，审减金额为1.88。主要原因是取费基数的减少。</v>
      </c>
    </row>
    <row r="17" s="12" customFormat="1" ht="25" customHeight="1" spans="1:14">
      <c r="A17" s="51" t="s">
        <v>35</v>
      </c>
      <c r="B17" s="93" t="s">
        <v>36</v>
      </c>
      <c r="C17" s="37" t="s">
        <v>116</v>
      </c>
      <c r="D17" s="38"/>
      <c r="E17" s="38"/>
      <c r="F17" s="52"/>
      <c r="G17" s="40"/>
      <c r="H17" s="39"/>
      <c r="I17" s="39"/>
      <c r="J17" s="56"/>
      <c r="K17" s="40"/>
      <c r="L17" s="39"/>
      <c r="M17" s="60"/>
      <c r="N17" s="59" t="str">
        <f t="shared" ref="N17:N22" si="8">IF(L17&lt;0,B17&amp;"送审金额为"&amp;G17&amp;C17&amp;"，审定金额为"&amp;K17&amp;C17&amp;"，审减金额为"&amp;-L17&amp;"。主要原因是"&amp;M17&amp;"。",IF(L17&gt;0,B17&amp;"送审金额为"&amp;G17&amp;C17&amp;"万元，审定金额为"&amp;K17&amp;C17&amp;"万元，审增金额为"&amp;L17&amp;"万元。主要原因是"&amp;M17&amp;"。",""""))</f>
        <v>"</v>
      </c>
    </row>
    <row r="18" s="12" customFormat="1" ht="25" customHeight="1" spans="1:14">
      <c r="A18" s="51" t="s">
        <v>38</v>
      </c>
      <c r="B18" s="36" t="s">
        <v>122</v>
      </c>
      <c r="C18" s="37" t="s">
        <v>116</v>
      </c>
      <c r="D18" s="38"/>
      <c r="E18" s="38"/>
      <c r="F18" s="38">
        <v>6.9195</v>
      </c>
      <c r="G18" s="40">
        <f t="shared" si="6"/>
        <v>6.9195</v>
      </c>
      <c r="H18" s="39"/>
      <c r="I18" s="39"/>
      <c r="J18" s="56">
        <v>6.7353</v>
      </c>
      <c r="K18" s="40">
        <f t="shared" si="7"/>
        <v>6.7353</v>
      </c>
      <c r="L18" s="39">
        <f t="shared" si="5"/>
        <v>-0.18</v>
      </c>
      <c r="M18" s="60" t="s">
        <v>123</v>
      </c>
      <c r="N18" s="59" t="str">
        <f t="shared" si="8"/>
        <v>招标代理服务费送审金额为6.9195万元，审定金额为6.7353万元，审减金额为0.18。主要原因是取费费率的调整。</v>
      </c>
    </row>
    <row r="19" s="12" customFormat="1" ht="25" customHeight="1" spans="1:14">
      <c r="A19" s="51" t="s">
        <v>41</v>
      </c>
      <c r="B19" s="36" t="s">
        <v>124</v>
      </c>
      <c r="C19" s="37" t="s">
        <v>116</v>
      </c>
      <c r="D19" s="38"/>
      <c r="E19" s="38"/>
      <c r="F19" s="38">
        <f>F20+F21+F22+F23+F24</f>
        <v>23.0007</v>
      </c>
      <c r="G19" s="40">
        <f t="shared" si="6"/>
        <v>23.0007</v>
      </c>
      <c r="H19" s="39"/>
      <c r="I19" s="39"/>
      <c r="J19" s="38">
        <f>J20+J21+J22+J24+J23</f>
        <v>22.4972</v>
      </c>
      <c r="K19" s="40">
        <f t="shared" si="7"/>
        <v>22.4972</v>
      </c>
      <c r="L19" s="39">
        <f t="shared" si="5"/>
        <v>-0.5</v>
      </c>
      <c r="M19" s="60"/>
      <c r="N19" s="59" t="str">
        <f t="shared" si="8"/>
        <v>工程造价咨询服务费送审金额为23.0007万元，审定金额为22.4972万元，审减金额为0.5。主要原因是。</v>
      </c>
    </row>
    <row r="20" s="12" customFormat="1" ht="25" customHeight="1" spans="1:14">
      <c r="A20" s="51" t="s">
        <v>44</v>
      </c>
      <c r="B20" s="36" t="s">
        <v>125</v>
      </c>
      <c r="C20" s="37" t="s">
        <v>116</v>
      </c>
      <c r="D20" s="38"/>
      <c r="E20" s="38"/>
      <c r="F20" s="38">
        <v>2.2756</v>
      </c>
      <c r="G20" s="40">
        <f t="shared" si="6"/>
        <v>2.2756</v>
      </c>
      <c r="H20" s="39"/>
      <c r="I20" s="39"/>
      <c r="J20" s="56">
        <v>2.2245</v>
      </c>
      <c r="K20" s="40">
        <f t="shared" si="7"/>
        <v>2.2245</v>
      </c>
      <c r="L20" s="39">
        <f t="shared" si="5"/>
        <v>-0.05</v>
      </c>
      <c r="M20" s="60"/>
      <c r="N20" s="59" t="str">
        <f t="shared" si="8"/>
        <v>概算审查费送审金额为2.2756万元，审定金额为2.2245万元，审减金额为0.05。主要原因是。</v>
      </c>
    </row>
    <row r="21" s="12" customFormat="1" ht="25" customHeight="1" spans="1:14">
      <c r="A21" s="51" t="s">
        <v>46</v>
      </c>
      <c r="B21" s="36" t="s">
        <v>126</v>
      </c>
      <c r="C21" s="37" t="s">
        <v>116</v>
      </c>
      <c r="D21" s="38"/>
      <c r="E21" s="38"/>
      <c r="F21" s="38">
        <f>11.4128/2</f>
        <v>5.7064</v>
      </c>
      <c r="G21" s="40">
        <f t="shared" si="6"/>
        <v>5.7064</v>
      </c>
      <c r="H21" s="39"/>
      <c r="I21" s="39"/>
      <c r="J21" s="56">
        <f>11.1674/2</f>
        <v>5.5837</v>
      </c>
      <c r="K21" s="40">
        <f t="shared" si="7"/>
        <v>5.5837</v>
      </c>
      <c r="L21" s="39">
        <f t="shared" si="5"/>
        <v>-0.12</v>
      </c>
      <c r="M21" s="60" t="s">
        <v>121</v>
      </c>
      <c r="N21" s="59" t="str">
        <f t="shared" si="8"/>
        <v>工程量清单及组价编制费送审金额为5.7064万元，审定金额为5.5837万元，审减金额为0.12。主要原因是取费基数、费率的调整。</v>
      </c>
    </row>
    <row r="22" s="12" customFormat="1" ht="25" customHeight="1" spans="1:14">
      <c r="A22" s="51" t="s">
        <v>49</v>
      </c>
      <c r="B22" s="36" t="s">
        <v>127</v>
      </c>
      <c r="C22" s="37" t="s">
        <v>116</v>
      </c>
      <c r="D22" s="38"/>
      <c r="E22" s="38"/>
      <c r="F22" s="38">
        <f>11.4128/2</f>
        <v>5.7064</v>
      </c>
      <c r="G22" s="40">
        <f t="shared" si="6"/>
        <v>5.7064</v>
      </c>
      <c r="H22" s="39"/>
      <c r="I22" s="39"/>
      <c r="J22" s="56">
        <f>11.1674/2</f>
        <v>5.5837</v>
      </c>
      <c r="K22" s="40">
        <f t="shared" si="7"/>
        <v>5.5837</v>
      </c>
      <c r="L22" s="39">
        <f t="shared" si="5"/>
        <v>-0.12</v>
      </c>
      <c r="M22" s="60" t="s">
        <v>121</v>
      </c>
      <c r="N22" s="59" t="str">
        <f t="shared" si="8"/>
        <v>工程量清单及组价审核费送审金额为5.7064万元，审定金额为5.5837万元，审减金额为0.12。主要原因是取费基数、费率的调整。</v>
      </c>
    </row>
    <row r="23" s="12" customFormat="1" ht="25" customHeight="1" spans="1:14">
      <c r="A23" s="51" t="s">
        <v>51</v>
      </c>
      <c r="B23" s="36" t="s">
        <v>91</v>
      </c>
      <c r="C23" s="37" t="s">
        <v>116</v>
      </c>
      <c r="D23" s="52"/>
      <c r="E23" s="52"/>
      <c r="F23" s="52">
        <v>9.3123</v>
      </c>
      <c r="G23" s="40">
        <f t="shared" si="6"/>
        <v>9.3123</v>
      </c>
      <c r="H23" s="39"/>
      <c r="I23" s="39"/>
      <c r="J23" s="56">
        <v>9.1053</v>
      </c>
      <c r="K23" s="40">
        <f t="shared" si="7"/>
        <v>9.1053</v>
      </c>
      <c r="L23" s="39">
        <f t="shared" si="5"/>
        <v>-0.21</v>
      </c>
      <c r="M23" s="60"/>
      <c r="N23" s="59"/>
    </row>
    <row r="24" s="12" customFormat="1" ht="25" customHeight="1" spans="1:14">
      <c r="A24" s="51" t="s">
        <v>92</v>
      </c>
      <c r="B24" s="97" t="s">
        <v>52</v>
      </c>
      <c r="C24" s="37" t="s">
        <v>116</v>
      </c>
      <c r="D24" s="52"/>
      <c r="E24" s="52"/>
      <c r="F24" s="52"/>
      <c r="G24" s="40"/>
      <c r="H24" s="39"/>
      <c r="I24" s="39"/>
      <c r="J24" s="56"/>
      <c r="K24" s="40"/>
      <c r="L24" s="39"/>
      <c r="M24" s="60"/>
      <c r="N24" s="59" t="str">
        <f>IF(L24&lt;0,B24&amp;"送审金额为"&amp;G24&amp;C24&amp;"，审定金额为"&amp;K24&amp;C24&amp;"，审减金额为"&amp;-L24&amp;"。主要原因是"&amp;M24&amp;"。",IF(L24&gt;0,B24&amp;"送审金额为"&amp;G24&amp;C24&amp;"万元，审定金额为"&amp;K24&amp;C24&amp;"万元，审增金额为"&amp;L24&amp;"万元。主要原因是"&amp;M24&amp;"。",""""))</f>
        <v>"</v>
      </c>
    </row>
    <row r="25" s="12" customFormat="1" ht="25" customHeight="1" spans="1:14">
      <c r="A25" s="51" t="s">
        <v>53</v>
      </c>
      <c r="B25" s="36" t="s">
        <v>128</v>
      </c>
      <c r="C25" s="37" t="s">
        <v>116</v>
      </c>
      <c r="D25" s="52"/>
      <c r="E25" s="52"/>
      <c r="F25" s="52"/>
      <c r="G25" s="40"/>
      <c r="H25" s="39"/>
      <c r="I25" s="39"/>
      <c r="J25" s="56"/>
      <c r="K25" s="40"/>
      <c r="L25" s="39"/>
      <c r="M25" s="60"/>
      <c r="N25" s="59" t="str">
        <f>IF(L25&lt;0,B25&amp;"送审金额为"&amp;G25&amp;C25&amp;"，审定金额为"&amp;K25&amp;C25&amp;"，审减金额为"&amp;-L25&amp;"。主要原因是"&amp;M25&amp;"。",IF(L25&gt;0,B25&amp;"送审金额为"&amp;G25&amp;C25&amp;"万元，审定金额为"&amp;K25&amp;C25&amp;"万元，审增金额为"&amp;L25&amp;"万元。主要原因是"&amp;M25&amp;"。",""""))</f>
        <v>"</v>
      </c>
    </row>
    <row r="26" s="12" customFormat="1" ht="25" customHeight="1" spans="1:14">
      <c r="A26" s="51" t="s">
        <v>56</v>
      </c>
      <c r="B26" s="36" t="s">
        <v>129</v>
      </c>
      <c r="C26" s="37" t="s">
        <v>116</v>
      </c>
      <c r="D26" s="38"/>
      <c r="E26" s="38"/>
      <c r="F26" s="38">
        <v>59.5103</v>
      </c>
      <c r="G26" s="40">
        <f t="shared" ref="G26:G42" si="9">F26</f>
        <v>59.5103</v>
      </c>
      <c r="H26" s="39"/>
      <c r="I26" s="39"/>
      <c r="J26" s="56">
        <v>54.0863</v>
      </c>
      <c r="K26" s="40">
        <f t="shared" ref="K26:K42" si="10">J26</f>
        <v>54.0863</v>
      </c>
      <c r="L26" s="39">
        <f t="shared" ref="L26:L40" si="11">ROUND(K26-G26,2)</f>
        <v>-5.42</v>
      </c>
      <c r="M26" s="60" t="s">
        <v>121</v>
      </c>
      <c r="N26" s="59" t="str">
        <f>IF(L26&lt;0,B26&amp;"送审金额为"&amp;G26&amp;C26&amp;"，审定金额为"&amp;K26&amp;C26&amp;"，审减金额为"&amp;-L26&amp;"。主要原因是"&amp;M26&amp;"。",IF(L26&gt;0,B26&amp;"送审金额为"&amp;G26&amp;C26&amp;"万元，审定金额为"&amp;K26&amp;C26&amp;"万元，审增金额为"&amp;L26&amp;"万元。主要原因是"&amp;M26&amp;"。",""""))</f>
        <v>工程建设监理费送审金额为59.5103万元，审定金额为54.0863万元，审减金额为5.42。主要原因是取费基数、费率的调整。</v>
      </c>
    </row>
    <row r="27" s="12" customFormat="1" ht="25" customHeight="1" spans="1:14">
      <c r="A27" s="51" t="s">
        <v>59</v>
      </c>
      <c r="B27" s="36" t="s">
        <v>130</v>
      </c>
      <c r="C27" s="37" t="s">
        <v>116</v>
      </c>
      <c r="D27" s="38"/>
      <c r="E27" s="38"/>
      <c r="F27" s="38"/>
      <c r="G27" s="40"/>
      <c r="H27" s="39"/>
      <c r="I27" s="39"/>
      <c r="J27" s="56"/>
      <c r="K27" s="40"/>
      <c r="L27" s="39"/>
      <c r="M27" s="60"/>
      <c r="N27" s="59" t="str">
        <f t="shared" ref="N27:N35" si="12">IF(L27&lt;0,B27&amp;"送审金额为"&amp;G27&amp;C27&amp;"，审定金额为"&amp;K27&amp;C27&amp;"，审减金额为"&amp;-L27&amp;"。主要原因是"&amp;M27&amp;"。",IF(L27&gt;0,B27&amp;"送审金额为"&amp;G27&amp;C27&amp;"万元，审定金额为"&amp;K27&amp;C27&amp;"万元，审增金额为"&amp;L27&amp;"万元。主要原因是"&amp;M27&amp;"。",""""))</f>
        <v>"</v>
      </c>
    </row>
    <row r="28" s="12" customFormat="1" ht="25" customHeight="1" spans="1:14">
      <c r="A28" s="51" t="s">
        <v>62</v>
      </c>
      <c r="B28" s="36" t="s">
        <v>131</v>
      </c>
      <c r="C28" s="37" t="s">
        <v>116</v>
      </c>
      <c r="D28" s="38"/>
      <c r="E28" s="38"/>
      <c r="F28" s="38"/>
      <c r="G28" s="40"/>
      <c r="H28" s="39"/>
      <c r="I28" s="39"/>
      <c r="J28" s="56"/>
      <c r="K28" s="40"/>
      <c r="L28" s="39"/>
      <c r="M28" s="60"/>
      <c r="N28" s="59" t="str">
        <f t="shared" si="12"/>
        <v>"</v>
      </c>
    </row>
    <row r="29" s="12" customFormat="1" ht="25" customHeight="1" spans="1:14">
      <c r="A29" s="51" t="s">
        <v>94</v>
      </c>
      <c r="B29" s="36" t="s">
        <v>95</v>
      </c>
      <c r="C29" s="37" t="s">
        <v>116</v>
      </c>
      <c r="D29" s="38"/>
      <c r="E29" s="38"/>
      <c r="F29" s="38"/>
      <c r="G29" s="40"/>
      <c r="H29" s="39"/>
      <c r="I29" s="39"/>
      <c r="J29" s="98"/>
      <c r="K29" s="56"/>
      <c r="L29" s="39"/>
      <c r="M29" s="60"/>
      <c r="N29" s="59" t="str">
        <f t="shared" si="12"/>
        <v>"</v>
      </c>
    </row>
    <row r="30" s="12" customFormat="1" ht="25" customHeight="1" spans="1:14">
      <c r="A30" s="51" t="s">
        <v>97</v>
      </c>
      <c r="B30" s="36" t="s">
        <v>98</v>
      </c>
      <c r="C30" s="37" t="s">
        <v>116</v>
      </c>
      <c r="D30" s="38"/>
      <c r="E30" s="38"/>
      <c r="F30" s="38"/>
      <c r="G30" s="40"/>
      <c r="H30" s="39"/>
      <c r="I30" s="39"/>
      <c r="J30" s="38"/>
      <c r="K30" s="56"/>
      <c r="L30" s="39"/>
      <c r="M30" s="60"/>
      <c r="N30" s="59" t="str">
        <f t="shared" si="12"/>
        <v>"</v>
      </c>
    </row>
    <row r="31" s="12" customFormat="1" ht="25" customHeight="1" spans="1:14">
      <c r="A31" s="51" t="s">
        <v>99</v>
      </c>
      <c r="B31" s="36" t="s">
        <v>100</v>
      </c>
      <c r="C31" s="37" t="s">
        <v>116</v>
      </c>
      <c r="D31" s="38"/>
      <c r="E31" s="38"/>
      <c r="F31" s="38"/>
      <c r="G31" s="40"/>
      <c r="H31" s="39"/>
      <c r="I31" s="39"/>
      <c r="J31" s="38"/>
      <c r="K31" s="56"/>
      <c r="L31" s="39"/>
      <c r="M31" s="60"/>
      <c r="N31" s="59" t="str">
        <f t="shared" si="12"/>
        <v>"</v>
      </c>
    </row>
    <row r="32" s="12" customFormat="1" ht="25" customHeight="1" spans="1:14">
      <c r="A32" s="51" t="s">
        <v>102</v>
      </c>
      <c r="B32" s="36" t="s">
        <v>103</v>
      </c>
      <c r="C32" s="37" t="s">
        <v>116</v>
      </c>
      <c r="D32" s="38"/>
      <c r="E32" s="38"/>
      <c r="F32" s="38"/>
      <c r="G32" s="40"/>
      <c r="H32" s="39"/>
      <c r="I32" s="39"/>
      <c r="J32" s="38"/>
      <c r="K32" s="56"/>
      <c r="L32" s="39"/>
      <c r="M32" s="60"/>
      <c r="N32" s="59" t="str">
        <f t="shared" si="12"/>
        <v>"</v>
      </c>
    </row>
    <row r="33" s="12" customFormat="1" ht="25" customHeight="1" spans="1:14">
      <c r="A33" s="46" t="s">
        <v>64</v>
      </c>
      <c r="B33" s="31" t="s">
        <v>132</v>
      </c>
      <c r="C33" s="32" t="s">
        <v>116</v>
      </c>
      <c r="D33" s="38"/>
      <c r="E33" s="38"/>
      <c r="F33" s="49">
        <f>F34+F35</f>
        <v>42.771</v>
      </c>
      <c r="G33" s="33">
        <f t="shared" si="9"/>
        <v>42.771</v>
      </c>
      <c r="H33" s="39"/>
      <c r="I33" s="39"/>
      <c r="J33" s="49">
        <f>J34+J35</f>
        <v>41.6341</v>
      </c>
      <c r="K33" s="33">
        <f t="shared" si="10"/>
        <v>41.6341</v>
      </c>
      <c r="L33" s="34">
        <f t="shared" si="11"/>
        <v>-1.14</v>
      </c>
      <c r="M33" s="60"/>
      <c r="N33" s="59"/>
    </row>
    <row r="34" s="12" customFormat="1" ht="25" customHeight="1" spans="1:14">
      <c r="A34" s="51" t="s">
        <v>66</v>
      </c>
      <c r="B34" s="36" t="s">
        <v>133</v>
      </c>
      <c r="C34" s="37" t="s">
        <v>116</v>
      </c>
      <c r="D34" s="38"/>
      <c r="E34" s="38"/>
      <c r="F34" s="38">
        <v>39.2</v>
      </c>
      <c r="G34" s="40">
        <f t="shared" si="9"/>
        <v>39.2</v>
      </c>
      <c r="H34" s="39"/>
      <c r="I34" s="39"/>
      <c r="J34" s="56">
        <v>38.15</v>
      </c>
      <c r="K34" s="56">
        <f t="shared" si="10"/>
        <v>38.15</v>
      </c>
      <c r="L34" s="39">
        <f t="shared" si="11"/>
        <v>-1.05</v>
      </c>
      <c r="M34" s="60" t="s">
        <v>121</v>
      </c>
      <c r="N34" s="59" t="str">
        <f t="shared" si="12"/>
        <v>项目建设管理费送审金额为39.2万元，审定金额为38.15万元，审减金额为1.05。主要原因是取费基数、费率的调整。</v>
      </c>
    </row>
    <row r="35" s="12" customFormat="1" ht="25" customHeight="1" spans="1:14">
      <c r="A35" s="51" t="s">
        <v>32</v>
      </c>
      <c r="B35" s="36" t="s">
        <v>134</v>
      </c>
      <c r="C35" s="37" t="s">
        <v>116</v>
      </c>
      <c r="D35" s="38"/>
      <c r="E35" s="38"/>
      <c r="F35" s="38">
        <v>3.571</v>
      </c>
      <c r="G35" s="40">
        <f t="shared" si="9"/>
        <v>3.571</v>
      </c>
      <c r="H35" s="39"/>
      <c r="I35" s="39"/>
      <c r="J35" s="56">
        <v>3.4841</v>
      </c>
      <c r="K35" s="56">
        <f t="shared" si="10"/>
        <v>3.4841</v>
      </c>
      <c r="L35" s="39">
        <f t="shared" si="11"/>
        <v>-0.09</v>
      </c>
      <c r="M35" s="60" t="s">
        <v>121</v>
      </c>
      <c r="N35" s="59" t="str">
        <f t="shared" si="12"/>
        <v>建设工程招标投标交易服务费送审金额为3.571万元，审定金额为3.4841万元，审减金额为0.09。主要原因是取费基数、费率的调整。</v>
      </c>
    </row>
    <row r="36" s="12" customFormat="1" ht="25" customHeight="1" spans="1:14">
      <c r="A36" s="46" t="s">
        <v>71</v>
      </c>
      <c r="B36" s="31" t="s">
        <v>135</v>
      </c>
      <c r="C36" s="32" t="s">
        <v>116</v>
      </c>
      <c r="D36" s="38"/>
      <c r="E36" s="38"/>
      <c r="F36" s="49">
        <f>F37+F38</f>
        <v>9.0024</v>
      </c>
      <c r="G36" s="33">
        <f t="shared" si="9"/>
        <v>9.0024</v>
      </c>
      <c r="H36" s="39"/>
      <c r="I36" s="39"/>
      <c r="J36" s="49">
        <f>J37+J38</f>
        <v>8.7834</v>
      </c>
      <c r="K36" s="33">
        <f t="shared" si="10"/>
        <v>8.7834</v>
      </c>
      <c r="L36" s="34">
        <f t="shared" si="11"/>
        <v>-0.22</v>
      </c>
      <c r="M36" s="60"/>
      <c r="N36" s="59"/>
    </row>
    <row r="37" s="12" customFormat="1" ht="25" customHeight="1" spans="1:14">
      <c r="A37" s="51" t="s">
        <v>66</v>
      </c>
      <c r="B37" s="36" t="s">
        <v>136</v>
      </c>
      <c r="C37" s="37" t="s">
        <v>116</v>
      </c>
      <c r="D37" s="38"/>
      <c r="E37" s="38"/>
      <c r="F37" s="38"/>
      <c r="G37" s="40"/>
      <c r="H37" s="39"/>
      <c r="I37" s="39"/>
      <c r="J37" s="56"/>
      <c r="K37" s="56"/>
      <c r="L37" s="39"/>
      <c r="M37" s="60"/>
      <c r="N37" s="59" t="str">
        <f>IF(L37&lt;0,B37&amp;"送审金额为"&amp;G37&amp;C37&amp;"，审定金额为"&amp;K37&amp;C37&amp;"，审减金额为"&amp;-L37&amp;"。主要原因是"&amp;M37&amp;"。",IF(L37&gt;0,B37&amp;"送审金额为"&amp;G37&amp;C37&amp;"万元，审定金额为"&amp;K37&amp;C37&amp;"万元，审增金额为"&amp;L37&amp;"万元。主要原因是"&amp;M37&amp;"。",""""))</f>
        <v>"</v>
      </c>
    </row>
    <row r="38" s="12" customFormat="1" ht="25" customHeight="1" spans="1:14">
      <c r="A38" s="51" t="s">
        <v>32</v>
      </c>
      <c r="B38" s="36" t="s">
        <v>137</v>
      </c>
      <c r="C38" s="37" t="s">
        <v>116</v>
      </c>
      <c r="D38" s="38"/>
      <c r="E38" s="38"/>
      <c r="F38" s="38">
        <v>9.0024</v>
      </c>
      <c r="G38" s="40">
        <f>F38</f>
        <v>9.0024</v>
      </c>
      <c r="H38" s="39"/>
      <c r="I38" s="39"/>
      <c r="J38" s="56">
        <v>8.7834</v>
      </c>
      <c r="K38" s="56">
        <f>J38</f>
        <v>8.7834</v>
      </c>
      <c r="L38" s="39"/>
      <c r="M38" s="60"/>
      <c r="N38" s="59" t="str">
        <f>IF(L38&lt;0,B38&amp;"送审金额为"&amp;G38&amp;C38&amp;"，审定金额为"&amp;K38&amp;C38&amp;"，审减金额为"&amp;-L38&amp;"。主要原因是"&amp;M38&amp;"。",IF(L38&gt;0,B38&amp;"送审金额为"&amp;G38&amp;C38&amp;"万元，审定金额为"&amp;K38&amp;C38&amp;"万元，审增金额为"&amp;L38&amp;"万元。主要原因是"&amp;M38&amp;"。",""""))</f>
        <v>"</v>
      </c>
    </row>
    <row r="39" s="12" customFormat="1" ht="25" customHeight="1" spans="1:14">
      <c r="A39" s="42" t="s">
        <v>76</v>
      </c>
      <c r="B39" s="31" t="s">
        <v>77</v>
      </c>
      <c r="C39" s="37" t="s">
        <v>116</v>
      </c>
      <c r="D39" s="53"/>
      <c r="E39" s="53"/>
      <c r="F39" s="44">
        <f>F40</f>
        <v>161.82</v>
      </c>
      <c r="G39" s="45">
        <f t="shared" si="9"/>
        <v>161.82</v>
      </c>
      <c r="H39" s="39"/>
      <c r="I39" s="39"/>
      <c r="J39" s="44">
        <f>J40</f>
        <v>157.69</v>
      </c>
      <c r="K39" s="45">
        <f t="shared" si="10"/>
        <v>157.69</v>
      </c>
      <c r="L39" s="39">
        <f t="shared" si="11"/>
        <v>-4.13</v>
      </c>
      <c r="M39" s="58"/>
      <c r="N39" s="59"/>
    </row>
    <row r="40" s="12" customFormat="1" ht="25" customHeight="1" spans="1:14">
      <c r="A40" s="54">
        <v>1</v>
      </c>
      <c r="B40" s="36" t="s">
        <v>78</v>
      </c>
      <c r="C40" s="37" t="s">
        <v>116</v>
      </c>
      <c r="D40" s="53"/>
      <c r="E40" s="53"/>
      <c r="F40" s="55">
        <f>ROUND((G5+G9)*5%,2)</f>
        <v>161.82</v>
      </c>
      <c r="G40" s="56">
        <f t="shared" si="9"/>
        <v>161.82</v>
      </c>
      <c r="H40" s="39"/>
      <c r="I40" s="39"/>
      <c r="J40" s="55">
        <f>ROUND((K5+K9)*5%,2)</f>
        <v>157.69</v>
      </c>
      <c r="K40" s="56">
        <f t="shared" si="10"/>
        <v>157.69</v>
      </c>
      <c r="L40" s="39">
        <f t="shared" si="11"/>
        <v>-4.13</v>
      </c>
      <c r="M40" s="60" t="s">
        <v>119</v>
      </c>
      <c r="N40" s="59" t="str">
        <f>IF(L40&lt;0,B40&amp;"送审金额为"&amp;G40&amp;C40&amp;"，审定金额为"&amp;K40&amp;C40&amp;"，审减金额为"&amp;-L40&amp;"。主要原因是"&amp;M40&amp;"。",IF(L40&gt;0,B40&amp;"送审金额为"&amp;G40&amp;C40&amp;"万元，审定金额为"&amp;K40&amp;C40&amp;"万元，审增金额为"&amp;L40&amp;"万元。主要原因是"&amp;M40&amp;"。",""""))</f>
        <v>基本预备费送审金额为161.82万元，审定金额为157.69万元，审减金额为4.13。主要原因是取费基数的减少。</v>
      </c>
    </row>
    <row r="41" s="13" customFormat="1" ht="25" customHeight="1" spans="1:14">
      <c r="A41" s="42" t="s">
        <v>80</v>
      </c>
      <c r="B41" s="31" t="s">
        <v>107</v>
      </c>
      <c r="C41" s="37" t="s">
        <v>116</v>
      </c>
      <c r="D41" s="43"/>
      <c r="E41" s="43"/>
      <c r="F41" s="44">
        <f>F42</f>
        <v>0</v>
      </c>
      <c r="G41" s="45">
        <f t="shared" si="9"/>
        <v>0</v>
      </c>
      <c r="H41" s="34"/>
      <c r="I41" s="34"/>
      <c r="J41" s="44">
        <f>J42</f>
        <v>0</v>
      </c>
      <c r="K41" s="45">
        <f t="shared" si="10"/>
        <v>0</v>
      </c>
      <c r="L41" s="34"/>
      <c r="M41" s="99"/>
      <c r="N41" s="100"/>
    </row>
    <row r="42" s="12" customFormat="1" ht="25" customHeight="1" spans="1:14">
      <c r="A42" s="54">
        <v>1</v>
      </c>
      <c r="B42" s="36" t="s">
        <v>107</v>
      </c>
      <c r="C42" s="37" t="s">
        <v>116</v>
      </c>
      <c r="D42" s="53"/>
      <c r="E42" s="53"/>
      <c r="F42" s="55">
        <v>0</v>
      </c>
      <c r="G42" s="56">
        <f t="shared" si="9"/>
        <v>0</v>
      </c>
      <c r="H42" s="39"/>
      <c r="I42" s="39"/>
      <c r="J42" s="55">
        <v>0</v>
      </c>
      <c r="K42" s="56">
        <f t="shared" si="10"/>
        <v>0</v>
      </c>
      <c r="L42" s="39">
        <f>ROUND(K42-G42,2)</f>
        <v>0</v>
      </c>
      <c r="M42" s="60" t="s">
        <v>119</v>
      </c>
      <c r="N42" s="59" t="str">
        <f>IF(L42&lt;0,B42&amp;"送审金额为"&amp;G42&amp;C42&amp;"，审定金额为"&amp;K42&amp;C42&amp;"，审减金额为"&amp;-L42&amp;"万元。主要原因是"&amp;M42&amp;"。",IF(L42&gt;0,B42&amp;"送审金额为"&amp;G42&amp;C42&amp;"，审定金额为"&amp;K42&amp;C42&amp;"，审增金额为"&amp;L42&amp;"万元。主要原因是"&amp;M42&amp;"。",""""))</f>
        <v>"</v>
      </c>
    </row>
    <row r="43" s="12" customFormat="1" ht="25" customHeight="1" spans="1:13">
      <c r="A43" s="42" t="s">
        <v>108</v>
      </c>
      <c r="B43" s="31" t="s">
        <v>81</v>
      </c>
      <c r="C43" s="37" t="s">
        <v>116</v>
      </c>
      <c r="D43" s="53"/>
      <c r="E43" s="53"/>
      <c r="F43" s="44"/>
      <c r="G43" s="45">
        <f>G5+G9+G41+G39</f>
        <v>3398.3159</v>
      </c>
      <c r="H43" s="39"/>
      <c r="I43" s="39"/>
      <c r="J43" s="45"/>
      <c r="K43" s="45">
        <f>K5+K9+K39</f>
        <v>3311.5474</v>
      </c>
      <c r="L43" s="34">
        <f>ROUND(K43-G43,2)</f>
        <v>-86.77</v>
      </c>
      <c r="M43" s="58"/>
    </row>
    <row r="44" s="12" customFormat="1" customHeight="1" spans="1:16384">
      <c r="A44" s="14"/>
      <c r="B44" s="15"/>
      <c r="C44" s="16"/>
      <c r="D44" s="16"/>
      <c r="E44" s="16"/>
      <c r="F44" s="17"/>
      <c r="G44" s="18"/>
      <c r="H44" s="18"/>
      <c r="I44" s="18"/>
      <c r="J44" s="18"/>
      <c r="K44" s="18"/>
      <c r="L44" s="18"/>
      <c r="M44" s="16"/>
      <c r="XFD44"/>
    </row>
    <row r="45" s="12" customFormat="1" customHeight="1" spans="1:16384">
      <c r="A45" s="14"/>
      <c r="B45" s="15"/>
      <c r="C45" s="16"/>
      <c r="D45" s="16"/>
      <c r="E45" s="16"/>
      <c r="F45" s="17"/>
      <c r="G45" s="18"/>
      <c r="H45" s="18"/>
      <c r="I45" s="18"/>
      <c r="J45" s="18"/>
      <c r="K45" s="18"/>
      <c r="L45" s="18"/>
      <c r="M45" s="16"/>
      <c r="XFD45"/>
    </row>
    <row r="46" s="12" customFormat="1" customHeight="1" spans="1:16384">
      <c r="A46" s="14"/>
      <c r="B46" s="15"/>
      <c r="C46" s="16"/>
      <c r="D46" s="16"/>
      <c r="E46" s="16"/>
      <c r="F46" s="17"/>
      <c r="G46" s="18"/>
      <c r="H46" s="18"/>
      <c r="I46" s="18"/>
      <c r="J46" s="18"/>
      <c r="K46" s="18"/>
      <c r="L46" s="18"/>
      <c r="M46" s="16"/>
      <c r="XFD46"/>
    </row>
    <row r="47" s="12" customFormat="1" customHeight="1" spans="1:16384">
      <c r="A47" s="14"/>
      <c r="B47" s="15"/>
      <c r="C47" s="16"/>
      <c r="D47" s="16"/>
      <c r="E47" s="16"/>
      <c r="F47" s="17"/>
      <c r="G47" s="18"/>
      <c r="H47" s="18"/>
      <c r="I47" s="18"/>
      <c r="J47" s="18"/>
      <c r="K47" s="18"/>
      <c r="L47" s="18"/>
      <c r="M47" s="16"/>
      <c r="XFD47"/>
    </row>
    <row r="48" s="12" customFormat="1" customHeight="1" spans="1:16384">
      <c r="A48" s="14"/>
      <c r="B48" s="15"/>
      <c r="C48" s="16"/>
      <c r="D48" s="16"/>
      <c r="E48" s="16"/>
      <c r="F48" s="17"/>
      <c r="G48" s="18"/>
      <c r="H48" s="18"/>
      <c r="I48" s="18"/>
      <c r="J48" s="18"/>
      <c r="K48" s="18"/>
      <c r="L48" s="18"/>
      <c r="M48" s="16"/>
      <c r="XFD48"/>
    </row>
    <row r="49" s="12" customFormat="1" customHeight="1" spans="1:16384">
      <c r="A49" s="14"/>
      <c r="B49" s="15"/>
      <c r="C49" s="16"/>
      <c r="D49" s="16"/>
      <c r="E49" s="16"/>
      <c r="F49" s="17"/>
      <c r="G49" s="18"/>
      <c r="H49" s="18"/>
      <c r="I49" s="18"/>
      <c r="J49" s="18"/>
      <c r="K49" s="18"/>
      <c r="L49" s="18"/>
      <c r="M49" s="16"/>
      <c r="XFD49"/>
    </row>
    <row r="50" s="12" customFormat="1" customHeight="1" spans="1:16384">
      <c r="A50" s="14"/>
      <c r="B50" s="15"/>
      <c r="C50" s="16"/>
      <c r="D50" s="16"/>
      <c r="E50" s="16"/>
      <c r="F50" s="17"/>
      <c r="G50" s="18"/>
      <c r="H50" s="18"/>
      <c r="I50" s="18"/>
      <c r="J50" s="18"/>
      <c r="K50" s="18"/>
      <c r="L50" s="18"/>
      <c r="M50" s="16"/>
      <c r="XFD50"/>
    </row>
  </sheetData>
  <mergeCells count="9">
    <mergeCell ref="A1:M1"/>
    <mergeCell ref="A2:M2"/>
    <mergeCell ref="D3:G3"/>
    <mergeCell ref="H3:K3"/>
    <mergeCell ref="A3:A4"/>
    <mergeCell ref="B3:B4"/>
    <mergeCell ref="C3:C4"/>
    <mergeCell ref="L3:L4"/>
    <mergeCell ref="M3:M4"/>
  </mergeCells>
  <pageMargins left="0.751388888888889" right="0.751388888888889" top="1" bottom="1" header="0.5" footer="0.5"/>
  <pageSetup paperSize="9" scale="80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G10"/>
  <sheetViews>
    <sheetView workbookViewId="0">
      <selection activeCell="D6" sqref="D6:G10"/>
    </sheetView>
  </sheetViews>
  <sheetFormatPr defaultColWidth="9" defaultRowHeight="15.75" outlineLevelCol="6"/>
  <cols>
    <col min="4" max="4" width="13.375" customWidth="1"/>
    <col min="5" max="5" width="16"/>
    <col min="6" max="6" width="17.375"/>
    <col min="7" max="7" width="16" customWidth="1"/>
  </cols>
  <sheetData>
    <row r="4" ht="16.5"/>
    <row r="5" ht="36" spans="2:7">
      <c r="B5" s="7" t="s">
        <v>140</v>
      </c>
      <c r="C5" s="7" t="s">
        <v>141</v>
      </c>
      <c r="D5" s="7" t="s">
        <v>142</v>
      </c>
      <c r="E5" s="7" t="s">
        <v>143</v>
      </c>
      <c r="F5" s="7" t="s">
        <v>144</v>
      </c>
      <c r="G5" s="7" t="s">
        <v>145</v>
      </c>
    </row>
    <row r="6" ht="36" spans="2:7">
      <c r="B6" s="8">
        <v>1</v>
      </c>
      <c r="C6" s="8" t="s">
        <v>146</v>
      </c>
      <c r="D6" s="95">
        <f>'总概算对比表（龙水片区）'!G5+'总概算对比表（三驱片区）'!G5+'总概算对比表（万古片区）'!G5</f>
        <v>5024.3196</v>
      </c>
      <c r="E6" s="95">
        <f>'总概算对比表（龙水片区）'!K5+'总概算对比表（三驱片区）'!K5+'总概算对比表（万古片区）'!K5</f>
        <v>4750.99127</v>
      </c>
      <c r="F6" s="96">
        <f>E6-D6</f>
        <v>-273.328329999999</v>
      </c>
      <c r="G6" s="3">
        <f>F6/D6</f>
        <v>-0.0544010635788375</v>
      </c>
    </row>
    <row r="7" ht="36" spans="2:7">
      <c r="B7" s="8">
        <v>2</v>
      </c>
      <c r="C7" s="8" t="s">
        <v>147</v>
      </c>
      <c r="D7" s="95">
        <f>'总概算对比表（龙水片区）'!G9+'总概算对比表（三驱片区）'!G9+'总概算对比表（万古片区）'!G9</f>
        <v>439.470834</v>
      </c>
      <c r="E7" s="95">
        <f>'总概算对比表（龙水片区）'!K9+'总概算对比表（三驱片区）'!K9+'总概算对比表（万古片区）'!K9</f>
        <v>436.9826655</v>
      </c>
      <c r="F7" s="96">
        <f>E7-D7</f>
        <v>-2.48816850000003</v>
      </c>
      <c r="G7" s="3">
        <f>F7/D7</f>
        <v>-0.00566173749769257</v>
      </c>
    </row>
    <row r="8" ht="18.4" spans="2:7">
      <c r="B8" s="8">
        <v>3</v>
      </c>
      <c r="C8" s="8" t="s">
        <v>148</v>
      </c>
      <c r="D8" s="95">
        <f>'总概算对比表（龙水片区）'!G39+'总概算对比表（三驱片区）'!G39+'总概算对比表（万古片区）'!G39</f>
        <v>267.15</v>
      </c>
      <c r="E8" s="95">
        <f>'总概算对比表（龙水片区）'!K39+'总概算对比表（三驱片区）'!J39+'总概算对比表（万古片区）'!J39</f>
        <v>259.4</v>
      </c>
      <c r="F8" s="96">
        <f>E8-D8</f>
        <v>-7.75</v>
      </c>
      <c r="G8" s="3">
        <f>F8/D8</f>
        <v>-0.0290099195208684</v>
      </c>
    </row>
    <row r="9" ht="36" spans="2:7">
      <c r="B9" s="8">
        <v>4</v>
      </c>
      <c r="C9" s="8" t="s">
        <v>149</v>
      </c>
      <c r="D9" s="95">
        <f>'总概算对比表（龙水片区）'!G41+'总概算对比表（三驱片区）'!G41+'总概算对比表（万古片区）'!G41</f>
        <v>0</v>
      </c>
      <c r="E9" s="95">
        <v>0</v>
      </c>
      <c r="F9" s="96">
        <f>E9-D9</f>
        <v>0</v>
      </c>
      <c r="G9" s="3" t="e">
        <f>F9/D9</f>
        <v>#DIV/0!</v>
      </c>
    </row>
    <row r="10" ht="18.4" spans="2:7">
      <c r="B10" s="8">
        <v>4</v>
      </c>
      <c r="C10" s="8" t="s">
        <v>150</v>
      </c>
      <c r="D10" s="95">
        <f>SUM(D6:D9)</f>
        <v>5730.940434</v>
      </c>
      <c r="E10" s="95">
        <f>SUM(E6:E9)</f>
        <v>5447.3739355</v>
      </c>
      <c r="F10" s="96">
        <f>E10-D10</f>
        <v>-283.566498499999</v>
      </c>
      <c r="G10" s="3">
        <f>F10/D10</f>
        <v>-0.0494799242403013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8:H13"/>
  <sheetViews>
    <sheetView workbookViewId="0">
      <selection activeCell="C10" sqref="C10:H13"/>
    </sheetView>
  </sheetViews>
  <sheetFormatPr defaultColWidth="8.8" defaultRowHeight="15.75" outlineLevelCol="7"/>
  <cols>
    <col min="5" max="6" width="9.2"/>
  </cols>
  <sheetData>
    <row r="8" ht="16.5"/>
    <row r="9" ht="36" spans="3:8">
      <c r="C9" s="7" t="s">
        <v>140</v>
      </c>
      <c r="D9" s="7" t="s">
        <v>141</v>
      </c>
      <c r="E9" s="7" t="s">
        <v>142</v>
      </c>
      <c r="F9" s="7" t="s">
        <v>143</v>
      </c>
      <c r="G9" s="7" t="s">
        <v>144</v>
      </c>
      <c r="H9" s="7" t="s">
        <v>145</v>
      </c>
    </row>
    <row r="10" ht="36" spans="3:8">
      <c r="C10" s="8">
        <v>1</v>
      </c>
      <c r="D10" s="8" t="s">
        <v>146</v>
      </c>
      <c r="E10" s="9">
        <f>'总概算对比表（龙水片区）'!G5</f>
        <v>920.1248</v>
      </c>
      <c r="F10" s="9">
        <f>'总概算对比表（龙水片区）'!K5</f>
        <v>803.8612</v>
      </c>
      <c r="G10" s="9">
        <f t="shared" ref="G10:G13" si="0">F10-E10</f>
        <v>-116.2636</v>
      </c>
      <c r="H10" s="10">
        <f t="shared" ref="H10:H13" si="1">G10/E10</f>
        <v>-0.126356337748966</v>
      </c>
    </row>
    <row r="11" ht="36" spans="3:8">
      <c r="C11" s="8">
        <v>2</v>
      </c>
      <c r="D11" s="8" t="s">
        <v>147</v>
      </c>
      <c r="E11" s="9">
        <f>'总概算对比表（龙水片区）'!G9</f>
        <v>85.688244</v>
      </c>
      <c r="F11" s="9">
        <f>'总概算对比表（龙水片区）'!K9</f>
        <v>78.92478</v>
      </c>
      <c r="G11" s="9">
        <f t="shared" si="0"/>
        <v>-6.76346399999998</v>
      </c>
      <c r="H11" s="10">
        <f t="shared" si="1"/>
        <v>-0.0789310608349027</v>
      </c>
    </row>
    <row r="12" ht="18.4" spans="3:8">
      <c r="C12" s="8">
        <v>3</v>
      </c>
      <c r="D12" s="8" t="s">
        <v>148</v>
      </c>
      <c r="E12" s="9">
        <f>'总概算对比表（龙水片区）'!G39</f>
        <v>44.26</v>
      </c>
      <c r="F12" s="9">
        <f>'总概算对比表（龙水片区）'!K39</f>
        <v>44.14</v>
      </c>
      <c r="G12" s="9">
        <f t="shared" si="0"/>
        <v>-0.119999999999997</v>
      </c>
      <c r="H12" s="10">
        <f t="shared" si="1"/>
        <v>-0.00271125169453225</v>
      </c>
    </row>
    <row r="13" ht="18.4" spans="3:8">
      <c r="C13" s="8">
        <v>4</v>
      </c>
      <c r="D13" s="8" t="s">
        <v>150</v>
      </c>
      <c r="E13" s="11">
        <f>'总概算对比表（龙水片区）'!G43</f>
        <v>1050.073044</v>
      </c>
      <c r="F13" s="11">
        <f>'总概算对比表（龙水片区）'!K43</f>
        <v>926.92598</v>
      </c>
      <c r="G13" s="9">
        <f t="shared" si="0"/>
        <v>-123.147064</v>
      </c>
      <c r="H13" s="10">
        <f t="shared" si="1"/>
        <v>-0.117274759792805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view="pageBreakPreview" zoomScaleNormal="100" workbookViewId="0">
      <selection activeCell="H32" sqref="H32"/>
    </sheetView>
  </sheetViews>
  <sheetFormatPr defaultColWidth="9" defaultRowHeight="18.75" customHeight="1" outlineLevelCol="7"/>
  <cols>
    <col min="1" max="1" width="7" style="12" customWidth="1"/>
    <col min="2" max="2" width="26.4" style="62" customWidth="1"/>
    <col min="3" max="3" width="9.5" style="63" customWidth="1"/>
    <col min="4" max="4" width="8.9" style="63" customWidth="1"/>
    <col min="5" max="5" width="8.25" style="63" customWidth="1"/>
    <col min="6" max="6" width="9.875" style="64" customWidth="1"/>
    <col min="7" max="7" width="9.25" style="63" customWidth="1"/>
    <col min="8" max="8" width="19.6" style="65" customWidth="1"/>
    <col min="9" max="16384" width="9" style="12"/>
  </cols>
  <sheetData>
    <row r="1" s="12" customFormat="1" ht="30" customHeight="1" spans="1:8">
      <c r="A1" s="66" t="s">
        <v>0</v>
      </c>
      <c r="B1" s="67"/>
      <c r="C1" s="66"/>
      <c r="D1" s="66"/>
      <c r="E1" s="66"/>
      <c r="F1" s="68"/>
      <c r="G1" s="66"/>
      <c r="H1" s="69"/>
    </row>
    <row r="2" s="12" customFormat="1" ht="30" customHeight="1" spans="1:8">
      <c r="A2" s="70" t="s">
        <v>151</v>
      </c>
      <c r="B2" s="70"/>
      <c r="C2" s="71"/>
      <c r="D2" s="71"/>
      <c r="E2" s="71"/>
      <c r="F2" s="39"/>
      <c r="G2" s="71"/>
      <c r="H2" s="72"/>
    </row>
    <row r="3" s="61" customFormat="1" ht="30" customHeight="1" spans="1:8">
      <c r="A3" s="71" t="s">
        <v>2</v>
      </c>
      <c r="B3" s="70" t="s">
        <v>3</v>
      </c>
      <c r="C3" s="71" t="s">
        <v>4</v>
      </c>
      <c r="D3" s="71"/>
      <c r="E3" s="71"/>
      <c r="F3" s="39"/>
      <c r="G3" s="71" t="s">
        <v>5</v>
      </c>
      <c r="H3" s="73" t="s">
        <v>6</v>
      </c>
    </row>
    <row r="4" s="61" customFormat="1" ht="41" customHeight="1" spans="1:8">
      <c r="A4" s="71"/>
      <c r="B4" s="70"/>
      <c r="C4" s="71" t="s">
        <v>7</v>
      </c>
      <c r="D4" s="71" t="s">
        <v>8</v>
      </c>
      <c r="E4" s="71" t="s">
        <v>9</v>
      </c>
      <c r="F4" s="39" t="s">
        <v>10</v>
      </c>
      <c r="G4" s="71"/>
      <c r="H4" s="73"/>
    </row>
    <row r="5" s="12" customFormat="1" ht="25" customHeight="1" spans="1:8">
      <c r="A5" s="30" t="s">
        <v>11</v>
      </c>
      <c r="B5" s="31" t="s">
        <v>12</v>
      </c>
      <c r="C5" s="74">
        <f>C6</f>
        <v>958.95</v>
      </c>
      <c r="D5" s="74"/>
      <c r="E5" s="74"/>
      <c r="F5" s="74">
        <f t="shared" ref="F5:F25" si="0">C5+D5</f>
        <v>958.95</v>
      </c>
      <c r="G5" s="75"/>
      <c r="H5" s="76"/>
    </row>
    <row r="6" s="12" customFormat="1" ht="51" customHeight="1" spans="1:8">
      <c r="A6" s="35">
        <v>1</v>
      </c>
      <c r="B6" s="36" t="s">
        <v>15</v>
      </c>
      <c r="C6" s="77">
        <f>SUM(C7:C25)</f>
        <v>958.95</v>
      </c>
      <c r="D6" s="77"/>
      <c r="E6" s="77"/>
      <c r="F6" s="78">
        <f t="shared" si="0"/>
        <v>958.95</v>
      </c>
      <c r="G6" s="79"/>
      <c r="H6" s="80"/>
    </row>
    <row r="7" s="12" customFormat="1" ht="25" customHeight="1" spans="1:8">
      <c r="A7" s="35">
        <v>1.1</v>
      </c>
      <c r="B7" s="36" t="s">
        <v>152</v>
      </c>
      <c r="C7" s="77">
        <v>26.12</v>
      </c>
      <c r="D7" s="77"/>
      <c r="E7" s="77"/>
      <c r="F7" s="78">
        <f t="shared" si="0"/>
        <v>26.12</v>
      </c>
      <c r="G7" s="79"/>
      <c r="H7" s="80"/>
    </row>
    <row r="8" s="12" customFormat="1" ht="25" customHeight="1" spans="1:8">
      <c r="A8" s="35">
        <v>1.2</v>
      </c>
      <c r="B8" s="36" t="s">
        <v>153</v>
      </c>
      <c r="C8" s="77">
        <v>56.4</v>
      </c>
      <c r="D8" s="77"/>
      <c r="E8" s="77"/>
      <c r="F8" s="78">
        <f t="shared" si="0"/>
        <v>56.4</v>
      </c>
      <c r="G8" s="79"/>
      <c r="H8" s="80"/>
    </row>
    <row r="9" s="12" customFormat="1" ht="25" customHeight="1" spans="1:8">
      <c r="A9" s="35">
        <v>1.3</v>
      </c>
      <c r="B9" s="36" t="s">
        <v>154</v>
      </c>
      <c r="C9" s="77">
        <v>214.69</v>
      </c>
      <c r="D9" s="77"/>
      <c r="E9" s="77"/>
      <c r="F9" s="78">
        <f t="shared" si="0"/>
        <v>214.69</v>
      </c>
      <c r="G9" s="79"/>
      <c r="H9" s="80"/>
    </row>
    <row r="10" s="12" customFormat="1" ht="25" customHeight="1" spans="1:8">
      <c r="A10" s="35">
        <v>1.4</v>
      </c>
      <c r="B10" s="36" t="s">
        <v>155</v>
      </c>
      <c r="C10" s="77">
        <v>16.25</v>
      </c>
      <c r="D10" s="77"/>
      <c r="E10" s="77"/>
      <c r="F10" s="78">
        <f t="shared" si="0"/>
        <v>16.25</v>
      </c>
      <c r="G10" s="79"/>
      <c r="H10" s="80"/>
    </row>
    <row r="11" s="12" customFormat="1" ht="25" customHeight="1" spans="1:8">
      <c r="A11" s="35">
        <v>1.5</v>
      </c>
      <c r="B11" s="36" t="s">
        <v>156</v>
      </c>
      <c r="C11" s="77">
        <v>20.05</v>
      </c>
      <c r="D11" s="77"/>
      <c r="E11" s="77"/>
      <c r="F11" s="78">
        <f t="shared" si="0"/>
        <v>20.05</v>
      </c>
      <c r="G11" s="79"/>
      <c r="H11" s="80"/>
    </row>
    <row r="12" s="12" customFormat="1" ht="25" customHeight="1" spans="1:8">
      <c r="A12" s="35">
        <v>1.6</v>
      </c>
      <c r="B12" s="36" t="s">
        <v>157</v>
      </c>
      <c r="C12" s="77">
        <v>22.84</v>
      </c>
      <c r="D12" s="77"/>
      <c r="E12" s="77"/>
      <c r="F12" s="78">
        <f t="shared" si="0"/>
        <v>22.84</v>
      </c>
      <c r="G12" s="79"/>
      <c r="H12" s="80"/>
    </row>
    <row r="13" s="12" customFormat="1" ht="25" customHeight="1" spans="1:8">
      <c r="A13" s="35">
        <v>1.7</v>
      </c>
      <c r="B13" s="36" t="s">
        <v>158</v>
      </c>
      <c r="C13" s="77">
        <v>32.91</v>
      </c>
      <c r="D13" s="77"/>
      <c r="E13" s="77"/>
      <c r="F13" s="78">
        <f t="shared" si="0"/>
        <v>32.91</v>
      </c>
      <c r="G13" s="79"/>
      <c r="H13" s="80"/>
    </row>
    <row r="14" s="12" customFormat="1" ht="25" customHeight="1" spans="1:8">
      <c r="A14" s="35">
        <v>1.8</v>
      </c>
      <c r="B14" s="36" t="s">
        <v>159</v>
      </c>
      <c r="C14" s="77">
        <v>15.1</v>
      </c>
      <c r="D14" s="77"/>
      <c r="E14" s="77"/>
      <c r="F14" s="78">
        <f t="shared" si="0"/>
        <v>15.1</v>
      </c>
      <c r="G14" s="79"/>
      <c r="H14" s="80"/>
    </row>
    <row r="15" s="12" customFormat="1" ht="25" customHeight="1" spans="1:8">
      <c r="A15" s="35">
        <v>1.9</v>
      </c>
      <c r="B15" s="36" t="s">
        <v>160</v>
      </c>
      <c r="C15" s="77">
        <v>77.66</v>
      </c>
      <c r="D15" s="77"/>
      <c r="E15" s="77"/>
      <c r="F15" s="78">
        <f t="shared" si="0"/>
        <v>77.66</v>
      </c>
      <c r="G15" s="79"/>
      <c r="H15" s="80"/>
    </row>
    <row r="16" s="12" customFormat="1" ht="25" customHeight="1" spans="1:8">
      <c r="A16" s="41">
        <v>1.1</v>
      </c>
      <c r="B16" s="36" t="s">
        <v>161</v>
      </c>
      <c r="C16" s="77">
        <v>35.67</v>
      </c>
      <c r="D16" s="77"/>
      <c r="E16" s="77"/>
      <c r="F16" s="78">
        <f t="shared" si="0"/>
        <v>35.67</v>
      </c>
      <c r="G16" s="79"/>
      <c r="H16" s="80"/>
    </row>
    <row r="17" s="12" customFormat="1" ht="25" customHeight="1" spans="1:8">
      <c r="A17" s="35">
        <v>1.11</v>
      </c>
      <c r="B17" s="36" t="s">
        <v>162</v>
      </c>
      <c r="C17" s="77">
        <v>29.38</v>
      </c>
      <c r="D17" s="77"/>
      <c r="E17" s="77"/>
      <c r="F17" s="78">
        <f t="shared" si="0"/>
        <v>29.38</v>
      </c>
      <c r="G17" s="79"/>
      <c r="H17" s="80"/>
    </row>
    <row r="18" s="12" customFormat="1" ht="25" customHeight="1" spans="1:8">
      <c r="A18" s="35">
        <v>1.12</v>
      </c>
      <c r="B18" s="36" t="s">
        <v>163</v>
      </c>
      <c r="C18" s="77">
        <v>63.29</v>
      </c>
      <c r="D18" s="77"/>
      <c r="E18" s="77"/>
      <c r="F18" s="78">
        <f t="shared" si="0"/>
        <v>63.29</v>
      </c>
      <c r="G18" s="79"/>
      <c r="H18" s="80"/>
    </row>
    <row r="19" s="12" customFormat="1" ht="25" customHeight="1" spans="1:8">
      <c r="A19" s="35">
        <v>1.13</v>
      </c>
      <c r="B19" s="36" t="s">
        <v>164</v>
      </c>
      <c r="C19" s="77">
        <v>29.44</v>
      </c>
      <c r="D19" s="77"/>
      <c r="E19" s="77"/>
      <c r="F19" s="78">
        <f t="shared" si="0"/>
        <v>29.44</v>
      </c>
      <c r="G19" s="79"/>
      <c r="H19" s="80"/>
    </row>
    <row r="20" s="12" customFormat="1" ht="25" customHeight="1" spans="1:8">
      <c r="A20" s="35">
        <v>1.14</v>
      </c>
      <c r="B20" s="36" t="s">
        <v>165</v>
      </c>
      <c r="C20" s="77">
        <v>33.83</v>
      </c>
      <c r="D20" s="77"/>
      <c r="E20" s="77"/>
      <c r="F20" s="78">
        <f t="shared" si="0"/>
        <v>33.83</v>
      </c>
      <c r="G20" s="79"/>
      <c r="H20" s="80"/>
    </row>
    <row r="21" s="12" customFormat="1" ht="25" customHeight="1" spans="1:8">
      <c r="A21" s="35">
        <v>1.15</v>
      </c>
      <c r="B21" s="36" t="s">
        <v>166</v>
      </c>
      <c r="C21" s="77">
        <v>56.39</v>
      </c>
      <c r="D21" s="77"/>
      <c r="E21" s="77"/>
      <c r="F21" s="78">
        <f t="shared" si="0"/>
        <v>56.39</v>
      </c>
      <c r="G21" s="79"/>
      <c r="H21" s="80"/>
    </row>
    <row r="22" s="12" customFormat="1" ht="25" customHeight="1" spans="1:8">
      <c r="A22" s="35">
        <v>1.16</v>
      </c>
      <c r="B22" s="36" t="s">
        <v>167</v>
      </c>
      <c r="C22" s="77">
        <v>8.2</v>
      </c>
      <c r="D22" s="77"/>
      <c r="E22" s="77"/>
      <c r="F22" s="78">
        <f t="shared" si="0"/>
        <v>8.2</v>
      </c>
      <c r="G22" s="79"/>
      <c r="H22" s="80"/>
    </row>
    <row r="23" s="12" customFormat="1" ht="25" customHeight="1" spans="1:8">
      <c r="A23" s="35">
        <v>1.17</v>
      </c>
      <c r="B23" s="36" t="s">
        <v>168</v>
      </c>
      <c r="C23" s="77">
        <v>80.46</v>
      </c>
      <c r="D23" s="77"/>
      <c r="E23" s="77"/>
      <c r="F23" s="78">
        <f t="shared" si="0"/>
        <v>80.46</v>
      </c>
      <c r="G23" s="79"/>
      <c r="H23" s="80"/>
    </row>
    <row r="24" s="12" customFormat="1" ht="25" customHeight="1" spans="1:8">
      <c r="A24" s="35">
        <v>1.18</v>
      </c>
      <c r="B24" s="36" t="s">
        <v>169</v>
      </c>
      <c r="C24" s="77">
        <v>112.13</v>
      </c>
      <c r="D24" s="77"/>
      <c r="E24" s="77"/>
      <c r="F24" s="78">
        <f t="shared" si="0"/>
        <v>112.13</v>
      </c>
      <c r="G24" s="79"/>
      <c r="H24" s="80"/>
    </row>
    <row r="25" s="12" customFormat="1" ht="25" customHeight="1" spans="1:8">
      <c r="A25" s="35">
        <v>1.19</v>
      </c>
      <c r="B25" s="36" t="s">
        <v>170</v>
      </c>
      <c r="C25" s="55">
        <v>28.14</v>
      </c>
      <c r="D25" s="55"/>
      <c r="E25" s="44"/>
      <c r="F25" s="78">
        <f t="shared" si="0"/>
        <v>28.14</v>
      </c>
      <c r="G25" s="75"/>
      <c r="H25" s="43"/>
    </row>
    <row r="26" s="12" customFormat="1" ht="25" customHeight="1" spans="1:8">
      <c r="A26" s="42" t="s">
        <v>16</v>
      </c>
      <c r="B26" s="31" t="s">
        <v>17</v>
      </c>
      <c r="C26" s="44"/>
      <c r="D26" s="94"/>
      <c r="E26" s="44">
        <f>E27+E28+E44+E47</f>
        <v>2.495</v>
      </c>
      <c r="F26" s="44">
        <f t="shared" ref="F26:F56" si="1">E26</f>
        <v>2.495</v>
      </c>
      <c r="G26" s="75"/>
      <c r="H26" s="43"/>
    </row>
    <row r="27" s="12" customFormat="1" ht="25" customHeight="1" spans="1:8">
      <c r="A27" s="46" t="s">
        <v>19</v>
      </c>
      <c r="B27" s="47" t="s">
        <v>20</v>
      </c>
      <c r="C27" s="44"/>
      <c r="D27" s="94"/>
      <c r="E27" s="44">
        <v>0</v>
      </c>
      <c r="F27" s="44">
        <f t="shared" si="1"/>
        <v>0</v>
      </c>
      <c r="G27" s="75"/>
      <c r="H27" s="83"/>
    </row>
    <row r="28" s="12" customFormat="1" ht="25" customHeight="1" spans="1:8">
      <c r="A28" s="46" t="s">
        <v>22</v>
      </c>
      <c r="B28" s="47" t="s">
        <v>23</v>
      </c>
      <c r="C28" s="55"/>
      <c r="D28" s="81"/>
      <c r="E28" s="55">
        <f>E29+E32+E33+E34+E35+E40+E41+E42+E43</f>
        <v>2.495</v>
      </c>
      <c r="F28" s="44">
        <f t="shared" si="1"/>
        <v>2.495</v>
      </c>
      <c r="G28" s="79"/>
      <c r="H28" s="84"/>
    </row>
    <row r="29" s="12" customFormat="1" ht="25" customHeight="1" spans="1:8">
      <c r="A29" s="50">
        <v>1</v>
      </c>
      <c r="B29" s="36" t="s">
        <v>117</v>
      </c>
      <c r="C29" s="85"/>
      <c r="D29" s="86"/>
      <c r="E29" s="55">
        <f>E30+E31</f>
        <v>2.495</v>
      </c>
      <c r="F29" s="55">
        <f t="shared" si="1"/>
        <v>2.495</v>
      </c>
      <c r="G29" s="79"/>
      <c r="H29" s="87"/>
    </row>
    <row r="30" s="12" customFormat="1" ht="25" customHeight="1" spans="1:8">
      <c r="A30" s="51" t="s">
        <v>26</v>
      </c>
      <c r="B30" s="36" t="s">
        <v>118</v>
      </c>
      <c r="C30" s="88"/>
      <c r="D30" s="89"/>
      <c r="E30" s="55">
        <f>4.99*0.5</f>
        <v>2.495</v>
      </c>
      <c r="F30" s="55">
        <f t="shared" si="1"/>
        <v>2.495</v>
      </c>
      <c r="G30" s="75"/>
      <c r="H30" s="90"/>
    </row>
    <row r="31" s="12" customFormat="1" ht="25" customHeight="1" spans="1:8">
      <c r="A31" s="51" t="s">
        <v>29</v>
      </c>
      <c r="B31" s="36" t="s">
        <v>171</v>
      </c>
      <c r="C31" s="88"/>
      <c r="D31" s="89"/>
      <c r="E31" s="55">
        <v>0</v>
      </c>
      <c r="F31" s="55">
        <f t="shared" si="1"/>
        <v>0</v>
      </c>
      <c r="G31" s="79"/>
      <c r="H31" s="84" t="s">
        <v>31</v>
      </c>
    </row>
    <row r="32" s="12" customFormat="1" ht="25" customHeight="1" spans="1:8">
      <c r="A32" s="51" t="s">
        <v>32</v>
      </c>
      <c r="B32" s="36" t="s">
        <v>120</v>
      </c>
      <c r="C32" s="88"/>
      <c r="D32" s="89"/>
      <c r="E32" s="55"/>
      <c r="F32" s="55">
        <f t="shared" si="1"/>
        <v>0</v>
      </c>
      <c r="G32" s="79"/>
      <c r="H32" s="84"/>
    </row>
    <row r="33" s="12" customFormat="1" ht="25" customHeight="1" spans="1:8">
      <c r="A33" s="51" t="s">
        <v>35</v>
      </c>
      <c r="B33" s="36" t="s">
        <v>172</v>
      </c>
      <c r="C33" s="88"/>
      <c r="D33" s="89"/>
      <c r="E33" s="55"/>
      <c r="F33" s="55">
        <f t="shared" si="1"/>
        <v>0</v>
      </c>
      <c r="G33" s="79"/>
      <c r="H33" s="84"/>
    </row>
    <row r="34" s="12" customFormat="1" ht="25" customHeight="1" spans="1:8">
      <c r="A34" s="51" t="s">
        <v>38</v>
      </c>
      <c r="B34" s="36" t="s">
        <v>122</v>
      </c>
      <c r="C34" s="88"/>
      <c r="D34" s="89"/>
      <c r="E34" s="55"/>
      <c r="F34" s="55">
        <f t="shared" si="1"/>
        <v>0</v>
      </c>
      <c r="G34" s="79"/>
      <c r="H34" s="84"/>
    </row>
    <row r="35" s="12" customFormat="1" ht="25" customHeight="1" spans="1:8">
      <c r="A35" s="51" t="s">
        <v>41</v>
      </c>
      <c r="B35" s="36" t="s">
        <v>124</v>
      </c>
      <c r="C35" s="88"/>
      <c r="D35" s="89"/>
      <c r="E35" s="55">
        <f>E36+E37+E38+E39</f>
        <v>0</v>
      </c>
      <c r="F35" s="55">
        <f t="shared" si="1"/>
        <v>0</v>
      </c>
      <c r="G35" s="79"/>
      <c r="H35" s="84"/>
    </row>
    <row r="36" s="12" customFormat="1" ht="25" customHeight="1" spans="1:8">
      <c r="A36" s="51" t="s">
        <v>44</v>
      </c>
      <c r="B36" s="36" t="s">
        <v>125</v>
      </c>
      <c r="C36" s="88"/>
      <c r="D36" s="89"/>
      <c r="E36" s="55"/>
      <c r="F36" s="55">
        <f t="shared" si="1"/>
        <v>0</v>
      </c>
      <c r="G36" s="79"/>
      <c r="H36" s="84"/>
    </row>
    <row r="37" s="12" customFormat="1" ht="25" customHeight="1" spans="1:8">
      <c r="A37" s="51" t="s">
        <v>46</v>
      </c>
      <c r="B37" s="36" t="s">
        <v>126</v>
      </c>
      <c r="C37" s="88"/>
      <c r="D37" s="89"/>
      <c r="E37" s="55"/>
      <c r="F37" s="55">
        <f t="shared" si="1"/>
        <v>0</v>
      </c>
      <c r="G37" s="79"/>
      <c r="H37" s="84"/>
    </row>
    <row r="38" s="12" customFormat="1" ht="25" customHeight="1" spans="1:8">
      <c r="A38" s="51" t="s">
        <v>49</v>
      </c>
      <c r="B38" s="36" t="s">
        <v>127</v>
      </c>
      <c r="C38" s="88"/>
      <c r="D38" s="89"/>
      <c r="E38" s="55"/>
      <c r="F38" s="55">
        <f t="shared" si="1"/>
        <v>0</v>
      </c>
      <c r="G38" s="79"/>
      <c r="H38" s="84"/>
    </row>
    <row r="39" s="12" customFormat="1" ht="25" customHeight="1" spans="1:8">
      <c r="A39" s="51" t="s">
        <v>51</v>
      </c>
      <c r="B39" s="36" t="s">
        <v>52</v>
      </c>
      <c r="C39" s="88"/>
      <c r="D39" s="89"/>
      <c r="E39" s="55"/>
      <c r="F39" s="55">
        <f t="shared" si="1"/>
        <v>0</v>
      </c>
      <c r="G39" s="79"/>
      <c r="H39" s="84"/>
    </row>
    <row r="40" s="12" customFormat="1" ht="25" customHeight="1" spans="1:8">
      <c r="A40" s="51" t="s">
        <v>53</v>
      </c>
      <c r="B40" s="36" t="s">
        <v>128</v>
      </c>
      <c r="C40" s="88"/>
      <c r="D40" s="89"/>
      <c r="E40" s="55"/>
      <c r="F40" s="55">
        <f t="shared" si="1"/>
        <v>0</v>
      </c>
      <c r="G40" s="79"/>
      <c r="H40" s="84"/>
    </row>
    <row r="41" s="12" customFormat="1" ht="25" customHeight="1" spans="1:8">
      <c r="A41" s="51" t="s">
        <v>56</v>
      </c>
      <c r="B41" s="36" t="s">
        <v>129</v>
      </c>
      <c r="C41" s="88"/>
      <c r="D41" s="89"/>
      <c r="E41" s="55"/>
      <c r="F41" s="55">
        <f t="shared" si="1"/>
        <v>0</v>
      </c>
      <c r="G41" s="79"/>
      <c r="H41" s="84"/>
    </row>
    <row r="42" s="12" customFormat="1" ht="25" customHeight="1" spans="1:8">
      <c r="A42" s="51" t="s">
        <v>59</v>
      </c>
      <c r="B42" s="36" t="s">
        <v>130</v>
      </c>
      <c r="C42" s="88"/>
      <c r="D42" s="89"/>
      <c r="E42" s="55"/>
      <c r="F42" s="55">
        <f t="shared" si="1"/>
        <v>0</v>
      </c>
      <c r="G42" s="79"/>
      <c r="H42" s="84"/>
    </row>
    <row r="43" s="12" customFormat="1" ht="25" customHeight="1" spans="1:8">
      <c r="A43" s="51" t="s">
        <v>62</v>
      </c>
      <c r="B43" s="36" t="s">
        <v>131</v>
      </c>
      <c r="C43" s="88"/>
      <c r="D43" s="89"/>
      <c r="E43" s="55"/>
      <c r="F43" s="55">
        <f t="shared" si="1"/>
        <v>0</v>
      </c>
      <c r="G43" s="79"/>
      <c r="H43" s="84"/>
    </row>
    <row r="44" s="12" customFormat="1" ht="25" customHeight="1" spans="1:8">
      <c r="A44" s="46" t="s">
        <v>64</v>
      </c>
      <c r="B44" s="31" t="s">
        <v>132</v>
      </c>
      <c r="C44" s="88"/>
      <c r="D44" s="89"/>
      <c r="E44" s="44">
        <f>E45+E46</f>
        <v>0</v>
      </c>
      <c r="F44" s="44">
        <f t="shared" si="1"/>
        <v>0</v>
      </c>
      <c r="G44" s="79"/>
      <c r="H44" s="84"/>
    </row>
    <row r="45" s="12" customFormat="1" ht="25" customHeight="1" spans="1:8">
      <c r="A45" s="51" t="s">
        <v>66</v>
      </c>
      <c r="B45" s="36" t="s">
        <v>133</v>
      </c>
      <c r="C45" s="88"/>
      <c r="D45" s="89"/>
      <c r="E45" s="55"/>
      <c r="F45" s="55">
        <f t="shared" si="1"/>
        <v>0</v>
      </c>
      <c r="G45" s="79"/>
      <c r="H45" s="84"/>
    </row>
    <row r="46" s="12" customFormat="1" ht="25" customHeight="1" spans="1:8">
      <c r="A46" s="51" t="s">
        <v>32</v>
      </c>
      <c r="B46" s="36" t="s">
        <v>134</v>
      </c>
      <c r="C46" s="88"/>
      <c r="D46" s="89"/>
      <c r="E46" s="55"/>
      <c r="F46" s="55">
        <f t="shared" si="1"/>
        <v>0</v>
      </c>
      <c r="G46" s="79"/>
      <c r="H46" s="84"/>
    </row>
    <row r="47" s="12" customFormat="1" ht="25" customHeight="1" spans="1:8">
      <c r="A47" s="46" t="s">
        <v>71</v>
      </c>
      <c r="B47" s="31" t="s">
        <v>135</v>
      </c>
      <c r="C47" s="88"/>
      <c r="D47" s="89"/>
      <c r="E47" s="44">
        <f>E48+E49</f>
        <v>0</v>
      </c>
      <c r="F47" s="44">
        <f t="shared" si="1"/>
        <v>0</v>
      </c>
      <c r="G47" s="79"/>
      <c r="H47" s="84"/>
    </row>
    <row r="48" s="12" customFormat="1" ht="25" customHeight="1" spans="1:8">
      <c r="A48" s="51" t="s">
        <v>66</v>
      </c>
      <c r="B48" s="36" t="s">
        <v>136</v>
      </c>
      <c r="C48" s="88"/>
      <c r="D48" s="89"/>
      <c r="E48" s="55"/>
      <c r="F48" s="55">
        <f t="shared" si="1"/>
        <v>0</v>
      </c>
      <c r="G48" s="79"/>
      <c r="H48" s="84"/>
    </row>
    <row r="49" s="12" customFormat="1" ht="25" customHeight="1" spans="1:8">
      <c r="A49" s="51" t="s">
        <v>32</v>
      </c>
      <c r="B49" s="36" t="s">
        <v>137</v>
      </c>
      <c r="C49" s="88"/>
      <c r="D49" s="89"/>
      <c r="E49" s="55"/>
      <c r="F49" s="55">
        <f t="shared" si="1"/>
        <v>0</v>
      </c>
      <c r="G49" s="79"/>
      <c r="H49" s="84"/>
    </row>
    <row r="50" s="12" customFormat="1" ht="25" customHeight="1" spans="1:8">
      <c r="A50" s="42" t="s">
        <v>76</v>
      </c>
      <c r="B50" s="31" t="s">
        <v>77</v>
      </c>
      <c r="C50" s="88"/>
      <c r="D50" s="89"/>
      <c r="E50" s="44">
        <f>E51</f>
        <v>48.07</v>
      </c>
      <c r="F50" s="44">
        <f t="shared" si="1"/>
        <v>48.07</v>
      </c>
      <c r="G50" s="79"/>
      <c r="H50" s="84"/>
    </row>
    <row r="51" s="12" customFormat="1" ht="25" customHeight="1" spans="1:8">
      <c r="A51" s="54">
        <v>1</v>
      </c>
      <c r="B51" s="36" t="s">
        <v>78</v>
      </c>
      <c r="C51" s="88"/>
      <c r="D51" s="89"/>
      <c r="E51" s="55">
        <f>ROUND((E26+F5)*5/100,2)</f>
        <v>48.07</v>
      </c>
      <c r="F51" s="55">
        <f t="shared" si="1"/>
        <v>48.07</v>
      </c>
      <c r="G51" s="79"/>
      <c r="H51" s="84"/>
    </row>
    <row r="52" s="12" customFormat="1" ht="25" customHeight="1" spans="1:8">
      <c r="A52" s="42" t="s">
        <v>80</v>
      </c>
      <c r="B52" s="31" t="s">
        <v>81</v>
      </c>
      <c r="C52" s="88"/>
      <c r="D52" s="89"/>
      <c r="E52" s="55"/>
      <c r="F52" s="55">
        <f t="shared" si="1"/>
        <v>0</v>
      </c>
      <c r="G52" s="79"/>
      <c r="H52" s="87"/>
    </row>
  </sheetData>
  <mergeCells count="7">
    <mergeCell ref="A1:H1"/>
    <mergeCell ref="A2:H2"/>
    <mergeCell ref="C3:F3"/>
    <mergeCell ref="A3:A4"/>
    <mergeCell ref="B3:B4"/>
    <mergeCell ref="G3:G4"/>
    <mergeCell ref="H3:H4"/>
  </mergeCells>
  <pageMargins left="0.75" right="0.75" top="1" bottom="1" header="0.5" footer="0.5"/>
  <pageSetup paperSize="9" scale="8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2"/>
  <sheetViews>
    <sheetView view="pageBreakPreview" zoomScaleNormal="100" topLeftCell="A22" workbookViewId="0">
      <selection activeCell="N50" sqref="N50"/>
    </sheetView>
  </sheetViews>
  <sheetFormatPr defaultColWidth="9" defaultRowHeight="18.75" customHeight="1"/>
  <cols>
    <col min="1" max="1" width="6.9" style="14" customWidth="1"/>
    <col min="2" max="2" width="27.1" style="15" customWidth="1"/>
    <col min="3" max="3" width="7.25" style="16" customWidth="1"/>
    <col min="4" max="4" width="9.5" style="16" customWidth="1"/>
    <col min="5" max="5" width="9.2" style="16" customWidth="1"/>
    <col min="6" max="6" width="9.2" style="17" customWidth="1"/>
    <col min="7" max="8" width="9.5" style="18" customWidth="1"/>
    <col min="9" max="10" width="9.2" style="18" customWidth="1"/>
    <col min="11" max="11" width="9.5" style="18" customWidth="1"/>
    <col min="12" max="12" width="8.5" style="18" customWidth="1"/>
    <col min="13" max="13" width="15.7" style="16" customWidth="1"/>
    <col min="14" max="14" width="9" style="12" customWidth="1"/>
    <col min="15" max="16383" width="9" style="12"/>
  </cols>
  <sheetData>
    <row r="1" s="12" customFormat="1" ht="28.5" customHeight="1" spans="1:13">
      <c r="A1" s="19" t="s">
        <v>173</v>
      </c>
      <c r="B1" s="20"/>
      <c r="C1" s="19"/>
      <c r="D1" s="19"/>
      <c r="E1" s="19"/>
      <c r="F1" s="21"/>
      <c r="G1" s="19"/>
      <c r="H1" s="19"/>
      <c r="I1" s="19"/>
      <c r="J1" s="19"/>
      <c r="K1" s="19"/>
      <c r="L1" s="19"/>
      <c r="M1" s="19"/>
    </row>
    <row r="2" s="12" customFormat="1" ht="24.75" customHeight="1" spans="1:13">
      <c r="A2" s="22" t="s">
        <v>174</v>
      </c>
      <c r="B2" s="22"/>
      <c r="C2" s="23"/>
      <c r="D2" s="23"/>
      <c r="E2" s="23"/>
      <c r="F2" s="24"/>
      <c r="G2" s="23"/>
      <c r="H2" s="23"/>
      <c r="I2" s="23"/>
      <c r="J2" s="23"/>
      <c r="K2" s="23"/>
      <c r="L2" s="23"/>
      <c r="M2" s="23"/>
    </row>
    <row r="3" s="12" customFormat="1" ht="20" customHeight="1" spans="1:13">
      <c r="A3" s="25" t="s">
        <v>2</v>
      </c>
      <c r="B3" s="26" t="s">
        <v>3</v>
      </c>
      <c r="C3" s="27" t="s">
        <v>111</v>
      </c>
      <c r="D3" s="28" t="s">
        <v>112</v>
      </c>
      <c r="E3" s="28"/>
      <c r="F3" s="28"/>
      <c r="G3" s="28"/>
      <c r="H3" s="28" t="s">
        <v>113</v>
      </c>
      <c r="I3" s="28"/>
      <c r="J3" s="28"/>
      <c r="K3" s="28"/>
      <c r="L3" s="28" t="s">
        <v>114</v>
      </c>
      <c r="M3" s="57" t="s">
        <v>6</v>
      </c>
    </row>
    <row r="4" s="12" customFormat="1" ht="32" customHeight="1" spans="1:13">
      <c r="A4" s="25"/>
      <c r="B4" s="26"/>
      <c r="C4" s="27"/>
      <c r="D4" s="27" t="s">
        <v>115</v>
      </c>
      <c r="E4" s="27" t="s">
        <v>8</v>
      </c>
      <c r="F4" s="29" t="s">
        <v>9</v>
      </c>
      <c r="G4" s="28" t="s">
        <v>10</v>
      </c>
      <c r="H4" s="27" t="s">
        <v>115</v>
      </c>
      <c r="I4" s="27" t="s">
        <v>8</v>
      </c>
      <c r="J4" s="29" t="s">
        <v>9</v>
      </c>
      <c r="K4" s="28" t="s">
        <v>10</v>
      </c>
      <c r="L4" s="28"/>
      <c r="M4" s="57"/>
    </row>
    <row r="5" s="13" customFormat="1" ht="25" customHeight="1" spans="1:14">
      <c r="A5" s="30" t="s">
        <v>11</v>
      </c>
      <c r="B5" s="31" t="s">
        <v>12</v>
      </c>
      <c r="C5" s="32" t="s">
        <v>116</v>
      </c>
      <c r="D5" s="33">
        <f>D6</f>
        <v>967.03</v>
      </c>
      <c r="E5" s="33"/>
      <c r="F5" s="34"/>
      <c r="G5" s="34">
        <f t="shared" ref="G5:G25" si="0">D5+E5</f>
        <v>967.03</v>
      </c>
      <c r="H5" s="34"/>
      <c r="I5" s="34"/>
      <c r="J5" s="34"/>
      <c r="K5" s="34">
        <f>总概算表!F5</f>
        <v>2965.72</v>
      </c>
      <c r="L5" s="34">
        <f t="shared" ref="L5:L27" si="1">K5-G5</f>
        <v>1998.69</v>
      </c>
      <c r="M5" s="58"/>
      <c r="N5" s="59"/>
    </row>
    <row r="6" s="13" customFormat="1" ht="25" customHeight="1" spans="1:14">
      <c r="A6" s="35">
        <v>1</v>
      </c>
      <c r="B6" s="36" t="s">
        <v>15</v>
      </c>
      <c r="C6" s="37" t="s">
        <v>116</v>
      </c>
      <c r="D6" s="38">
        <v>967.03</v>
      </c>
      <c r="E6" s="38"/>
      <c r="F6" s="34"/>
      <c r="G6" s="39">
        <f t="shared" si="0"/>
        <v>967.03</v>
      </c>
      <c r="H6" s="39"/>
      <c r="I6" s="39"/>
      <c r="J6" s="39"/>
      <c r="K6" s="39">
        <f>总概算表!F6</f>
        <v>2006.74</v>
      </c>
      <c r="L6" s="39">
        <f t="shared" si="1"/>
        <v>1039.71</v>
      </c>
      <c r="M6" s="58"/>
      <c r="N6" s="59" t="str">
        <f>IF(L6&lt;0,B6&amp;"送审金额为"&amp;G6&amp;C6&amp;"，审定金额为"&amp;K6&amp;C6&amp;"，审减金额为"&amp;-L6&amp;"。主要原因是"&amp;M6&amp;"。",IF(L6&gt;0,B6&amp;"送审金额为"&amp;G6&amp;C6&amp;"，审定金额为"&amp;K6&amp;C6&amp;"，审增金额为"&amp;L6&amp;"万元。主要原因是"&amp;M6&amp;"。",""""))</f>
        <v>重庆市大足区中心城区2023年老旧小区主体改造工程（龙岗片区）送审金额为967.03万元，审定金额为2006.74万元，审增金额为1039.71万元。主要原因是。</v>
      </c>
    </row>
    <row r="7" s="13" customFormat="1" ht="25" customHeight="1" spans="1:14">
      <c r="A7" s="35">
        <v>1.1</v>
      </c>
      <c r="B7" s="36" t="s">
        <v>152</v>
      </c>
      <c r="C7" s="37" t="s">
        <v>116</v>
      </c>
      <c r="D7" s="40">
        <v>19.1</v>
      </c>
      <c r="E7" s="91"/>
      <c r="F7" s="34"/>
      <c r="G7" s="39">
        <f t="shared" si="0"/>
        <v>19.1</v>
      </c>
      <c r="H7" s="39"/>
      <c r="I7" s="39"/>
      <c r="J7" s="39"/>
      <c r="K7" s="39" t="e">
        <f>总概算表!#REF!</f>
        <v>#REF!</v>
      </c>
      <c r="L7" s="39" t="e">
        <f t="shared" si="1"/>
        <v>#REF!</v>
      </c>
      <c r="M7" s="58"/>
      <c r="N7" s="59" t="e">
        <f t="shared" ref="N7:N43" si="2">IF(L7&lt;0,B7&amp;"送审金额为"&amp;G7&amp;C7&amp;"，审定金额为"&amp;K7&amp;C7&amp;"，审减金额为"&amp;-L7&amp;"。主要原因是"&amp;M7&amp;"。",IF(L7&gt;0,B7&amp;"送审金额为"&amp;G7&amp;C7&amp;"，审定金额为"&amp;K7&amp;C7&amp;"，审增金额为"&amp;L7&amp;"万元。主要原因是"&amp;M7&amp;"。",""""))</f>
        <v>#REF!</v>
      </c>
    </row>
    <row r="8" s="13" customFormat="1" ht="25" customHeight="1" spans="1:14">
      <c r="A8" s="35">
        <v>1.2</v>
      </c>
      <c r="B8" s="36" t="s">
        <v>153</v>
      </c>
      <c r="C8" s="37" t="s">
        <v>116</v>
      </c>
      <c r="D8" s="40">
        <v>66.17</v>
      </c>
      <c r="E8" s="38"/>
      <c r="F8" s="34"/>
      <c r="G8" s="39">
        <f t="shared" si="0"/>
        <v>66.17</v>
      </c>
      <c r="H8" s="39"/>
      <c r="I8" s="39"/>
      <c r="J8" s="39"/>
      <c r="K8" s="39">
        <f>总概算表!F7</f>
        <v>958.98</v>
      </c>
      <c r="L8" s="39">
        <f t="shared" si="1"/>
        <v>892.81</v>
      </c>
      <c r="M8" s="58"/>
      <c r="N8" s="59" t="str">
        <f t="shared" si="2"/>
        <v>北禅二组送审金额为66.17万元，审定金额为958.98万元，审增金额为892.81万元。主要原因是。</v>
      </c>
    </row>
    <row r="9" s="13" customFormat="1" ht="25" customHeight="1" spans="1:14">
      <c r="A9" s="35">
        <v>1.3</v>
      </c>
      <c r="B9" s="36" t="s">
        <v>154</v>
      </c>
      <c r="C9" s="37" t="s">
        <v>116</v>
      </c>
      <c r="D9" s="40">
        <v>131.58</v>
      </c>
      <c r="E9" s="92"/>
      <c r="F9" s="34"/>
      <c r="G9" s="39">
        <f t="shared" si="0"/>
        <v>131.58</v>
      </c>
      <c r="H9" s="39"/>
      <c r="I9" s="39"/>
      <c r="J9" s="39"/>
      <c r="K9" s="39">
        <f>总概算表!F8</f>
        <v>297.58</v>
      </c>
      <c r="L9" s="39">
        <f t="shared" si="1"/>
        <v>166</v>
      </c>
      <c r="M9" s="58"/>
      <c r="N9" s="59" t="str">
        <f t="shared" si="2"/>
        <v>碧景苑送审金额为131.58万元，审定金额为297.58万元，审增金额为166万元。主要原因是。</v>
      </c>
    </row>
    <row r="10" s="13" customFormat="1" ht="25" customHeight="1" spans="1:14">
      <c r="A10" s="35">
        <v>1.4</v>
      </c>
      <c r="B10" s="36" t="s">
        <v>155</v>
      </c>
      <c r="C10" s="37" t="s">
        <v>116</v>
      </c>
      <c r="D10" s="40">
        <v>19.8</v>
      </c>
      <c r="E10" s="40"/>
      <c r="F10" s="34"/>
      <c r="G10" s="39">
        <f t="shared" si="0"/>
        <v>19.8</v>
      </c>
      <c r="H10" s="39"/>
      <c r="I10" s="39"/>
      <c r="J10" s="39"/>
      <c r="K10" s="39">
        <f>总概算表!F9</f>
        <v>0</v>
      </c>
      <c r="L10" s="39">
        <f t="shared" si="1"/>
        <v>-19.8</v>
      </c>
      <c r="M10" s="58"/>
      <c r="N10" s="59" t="str">
        <f t="shared" si="2"/>
        <v>电力公司家属院送审金额为19.8万元，审定金额为0万元，审减金额为19.8。主要原因是。</v>
      </c>
    </row>
    <row r="11" s="13" customFormat="1" ht="25" customHeight="1" spans="1:14">
      <c r="A11" s="35">
        <v>1.5</v>
      </c>
      <c r="B11" s="36" t="s">
        <v>156</v>
      </c>
      <c r="C11" s="37" t="s">
        <v>116</v>
      </c>
      <c r="D11" s="40">
        <v>19.08</v>
      </c>
      <c r="E11" s="38"/>
      <c r="F11" s="34"/>
      <c r="G11" s="39">
        <f t="shared" si="0"/>
        <v>19.08</v>
      </c>
      <c r="H11" s="39"/>
      <c r="I11" s="39"/>
      <c r="J11" s="39"/>
      <c r="K11" s="39">
        <f>总概算表!F10</f>
        <v>217.02</v>
      </c>
      <c r="L11" s="39">
        <f t="shared" si="1"/>
        <v>197.94</v>
      </c>
      <c r="M11" s="58"/>
      <c r="N11" s="59" t="str">
        <f t="shared" si="2"/>
        <v>电影公司家属院送审金额为19.08万元，审定金额为217.02万元，审增金额为197.94万元。主要原因是。</v>
      </c>
    </row>
    <row r="12" s="13" customFormat="1" ht="25" customHeight="1" spans="1:14">
      <c r="A12" s="35">
        <v>1.6</v>
      </c>
      <c r="B12" s="36" t="s">
        <v>157</v>
      </c>
      <c r="C12" s="37" t="s">
        <v>116</v>
      </c>
      <c r="D12" s="40">
        <v>21.89</v>
      </c>
      <c r="E12" s="38"/>
      <c r="F12" s="34"/>
      <c r="G12" s="39">
        <f t="shared" si="0"/>
        <v>21.89</v>
      </c>
      <c r="H12" s="39"/>
      <c r="I12" s="39"/>
      <c r="J12" s="39"/>
      <c r="K12" s="39">
        <f>总概算表!F11</f>
        <v>4.99</v>
      </c>
      <c r="L12" s="39">
        <f t="shared" si="1"/>
        <v>-16.9</v>
      </c>
      <c r="M12" s="58"/>
      <c r="N12" s="59" t="str">
        <f t="shared" si="2"/>
        <v>防疫站家属院送审金额为21.89万元，审定金额为4.99万元，审减金额为16.9。主要原因是。</v>
      </c>
    </row>
    <row r="13" s="13" customFormat="1" ht="25" customHeight="1" spans="1:14">
      <c r="A13" s="35">
        <v>1.7</v>
      </c>
      <c r="B13" s="36" t="s">
        <v>158</v>
      </c>
      <c r="C13" s="37" t="s">
        <v>116</v>
      </c>
      <c r="D13" s="40">
        <v>20.7</v>
      </c>
      <c r="E13" s="38"/>
      <c r="F13" s="34"/>
      <c r="G13" s="39">
        <f t="shared" si="0"/>
        <v>20.7</v>
      </c>
      <c r="H13" s="39"/>
      <c r="I13" s="39"/>
      <c r="J13" s="39"/>
      <c r="K13" s="39">
        <f>总概算表!F12</f>
        <v>4.99</v>
      </c>
      <c r="L13" s="39">
        <f t="shared" si="1"/>
        <v>-15.71</v>
      </c>
      <c r="M13" s="58"/>
      <c r="N13" s="59" t="str">
        <f t="shared" si="2"/>
        <v>华丰商住楼送审金额为20.7万元，审定金额为4.99万元，审减金额为15.71。主要原因是。</v>
      </c>
    </row>
    <row r="14" s="13" customFormat="1" ht="25" customHeight="1" spans="1:14">
      <c r="A14" s="35">
        <v>1.8</v>
      </c>
      <c r="B14" s="36" t="s">
        <v>159</v>
      </c>
      <c r="C14" s="37" t="s">
        <v>116</v>
      </c>
      <c r="D14" s="40">
        <v>14.7</v>
      </c>
      <c r="E14" s="40"/>
      <c r="F14" s="34"/>
      <c r="G14" s="39">
        <f t="shared" si="0"/>
        <v>14.7</v>
      </c>
      <c r="H14" s="39"/>
      <c r="I14" s="39"/>
      <c r="J14" s="39"/>
      <c r="K14" s="39">
        <f>总概算表!F13</f>
        <v>0</v>
      </c>
      <c r="L14" s="39">
        <f t="shared" si="1"/>
        <v>-14.7</v>
      </c>
      <c r="M14" s="58"/>
      <c r="N14" s="59" t="str">
        <f t="shared" si="2"/>
        <v>老党校家属院送审金额为14.7万元，审定金额为0万元，审减金额为14.7。主要原因是。</v>
      </c>
    </row>
    <row r="15" s="13" customFormat="1" ht="25" customHeight="1" spans="1:14">
      <c r="A15" s="35">
        <v>1.9</v>
      </c>
      <c r="B15" s="36" t="s">
        <v>160</v>
      </c>
      <c r="C15" s="37" t="s">
        <v>116</v>
      </c>
      <c r="D15" s="40">
        <v>90.48</v>
      </c>
      <c r="E15" s="38"/>
      <c r="F15" s="34"/>
      <c r="G15" s="39">
        <f t="shared" si="0"/>
        <v>90.48</v>
      </c>
      <c r="H15" s="39"/>
      <c r="I15" s="39"/>
      <c r="J15" s="39"/>
      <c r="K15" s="39">
        <f>总概算表!F14</f>
        <v>69.83</v>
      </c>
      <c r="L15" s="39">
        <f t="shared" si="1"/>
        <v>-20.65</v>
      </c>
      <c r="M15" s="58"/>
      <c r="N15" s="59" t="str">
        <f t="shared" si="2"/>
        <v>老粮种场送审金额为90.48万元，审定金额为69.83万元，审减金额为20.65。主要原因是。</v>
      </c>
    </row>
    <row r="16" s="13" customFormat="1" ht="25" customHeight="1" spans="1:14">
      <c r="A16" s="41">
        <v>1.1</v>
      </c>
      <c r="B16" s="36" t="s">
        <v>161</v>
      </c>
      <c r="C16" s="37" t="s">
        <v>116</v>
      </c>
      <c r="D16" s="40">
        <v>41.8</v>
      </c>
      <c r="E16" s="38"/>
      <c r="F16" s="34"/>
      <c r="G16" s="39">
        <f t="shared" si="0"/>
        <v>41.8</v>
      </c>
      <c r="H16" s="39"/>
      <c r="I16" s="39"/>
      <c r="J16" s="39"/>
      <c r="K16" s="39">
        <f>总概算表!F15</f>
        <v>5.24</v>
      </c>
      <c r="L16" s="39">
        <f t="shared" si="1"/>
        <v>-36.56</v>
      </c>
      <c r="M16" s="58"/>
      <c r="N16" s="59" t="str">
        <f t="shared" si="2"/>
        <v>老农业局家属院送审金额为41.8万元，审定金额为5.24万元，审减金额为36.56。主要原因是。</v>
      </c>
    </row>
    <row r="17" s="13" customFormat="1" ht="25" customHeight="1" spans="1:14">
      <c r="A17" s="35">
        <v>1.11</v>
      </c>
      <c r="B17" s="36" t="s">
        <v>162</v>
      </c>
      <c r="C17" s="37" t="s">
        <v>116</v>
      </c>
      <c r="D17" s="40">
        <v>34.84</v>
      </c>
      <c r="E17" s="38"/>
      <c r="F17" s="34"/>
      <c r="G17" s="39">
        <f t="shared" si="0"/>
        <v>34.84</v>
      </c>
      <c r="H17" s="39"/>
      <c r="I17" s="39"/>
      <c r="J17" s="39"/>
      <c r="K17" s="39">
        <f>总概算表!F16</f>
        <v>13.43</v>
      </c>
      <c r="L17" s="39">
        <f t="shared" si="1"/>
        <v>-21.41</v>
      </c>
      <c r="M17" s="58"/>
      <c r="N17" s="59" t="str">
        <f t="shared" si="2"/>
        <v>老医院家属院送审金额为34.84万元，审定金额为13.43万元，审减金额为21.41。主要原因是。</v>
      </c>
    </row>
    <row r="18" s="13" customFormat="1" ht="25" customHeight="1" spans="1:14">
      <c r="A18" s="35">
        <v>1.12</v>
      </c>
      <c r="B18" s="36" t="s">
        <v>163</v>
      </c>
      <c r="C18" s="37" t="s">
        <v>116</v>
      </c>
      <c r="D18" s="40">
        <v>74.2</v>
      </c>
      <c r="E18" s="40"/>
      <c r="F18" s="34"/>
      <c r="G18" s="39">
        <f t="shared" si="0"/>
        <v>74.2</v>
      </c>
      <c r="H18" s="39"/>
      <c r="I18" s="39"/>
      <c r="J18" s="39"/>
      <c r="K18" s="39">
        <f>总概算表!F17</f>
        <v>45.02</v>
      </c>
      <c r="L18" s="39">
        <f t="shared" si="1"/>
        <v>-29.18</v>
      </c>
      <c r="M18" s="58"/>
      <c r="N18" s="59" t="str">
        <f t="shared" si="2"/>
        <v>累丰廉租房送审金额为74.2万元，审定金额为45.02万元，审减金额为29.18。主要原因是。</v>
      </c>
    </row>
    <row r="19" s="13" customFormat="1" ht="25" customHeight="1" spans="1:14">
      <c r="A19" s="35">
        <v>1.13</v>
      </c>
      <c r="B19" s="36" t="s">
        <v>164</v>
      </c>
      <c r="C19" s="37" t="s">
        <v>116</v>
      </c>
      <c r="D19" s="40">
        <v>34.92</v>
      </c>
      <c r="E19" s="38"/>
      <c r="F19" s="34"/>
      <c r="G19" s="39">
        <f t="shared" si="0"/>
        <v>34.92</v>
      </c>
      <c r="H19" s="39"/>
      <c r="I19" s="39"/>
      <c r="J19" s="39"/>
      <c r="K19" s="39">
        <f>总概算表!F18</f>
        <v>0</v>
      </c>
      <c r="L19" s="39">
        <f t="shared" si="1"/>
        <v>-34.92</v>
      </c>
      <c r="M19" s="58"/>
      <c r="N19" s="59" t="str">
        <f t="shared" si="2"/>
        <v>林荫饭店集资房送审金额为34.92万元，审定金额为0万元，审减金额为34.92。主要原因是。</v>
      </c>
    </row>
    <row r="20" s="13" customFormat="1" ht="25" customHeight="1" spans="1:14">
      <c r="A20" s="35">
        <v>1.14</v>
      </c>
      <c r="B20" s="36" t="s">
        <v>165</v>
      </c>
      <c r="C20" s="37" t="s">
        <v>116</v>
      </c>
      <c r="D20" s="40">
        <v>40.03</v>
      </c>
      <c r="E20" s="38"/>
      <c r="F20" s="34"/>
      <c r="G20" s="39">
        <f t="shared" si="0"/>
        <v>40.03</v>
      </c>
      <c r="H20" s="39"/>
      <c r="I20" s="39"/>
      <c r="J20" s="39"/>
      <c r="K20" s="39">
        <f>总概算表!F19</f>
        <v>11.43</v>
      </c>
      <c r="L20" s="39">
        <f t="shared" si="1"/>
        <v>-28.6</v>
      </c>
      <c r="M20" s="58"/>
      <c r="N20" s="59" t="str">
        <f t="shared" si="2"/>
        <v>水果市场家属院送审金额为40.03万元，审定金额为11.43万元，审减金额为28.6。主要原因是。</v>
      </c>
    </row>
    <row r="21" s="13" customFormat="1" ht="25" customHeight="1" spans="1:14">
      <c r="A21" s="35">
        <v>1.15</v>
      </c>
      <c r="B21" s="36" t="s">
        <v>166</v>
      </c>
      <c r="C21" s="37" t="s">
        <v>116</v>
      </c>
      <c r="D21" s="40">
        <v>66.73</v>
      </c>
      <c r="E21" s="38"/>
      <c r="F21" s="34"/>
      <c r="G21" s="39">
        <f t="shared" si="0"/>
        <v>66.73</v>
      </c>
      <c r="H21" s="39"/>
      <c r="I21" s="39"/>
      <c r="J21" s="39"/>
      <c r="K21" s="39">
        <f>总概算表!F20</f>
        <v>11.43</v>
      </c>
      <c r="L21" s="39">
        <f t="shared" si="1"/>
        <v>-55.3</v>
      </c>
      <c r="M21" s="58"/>
      <c r="N21" s="59" t="str">
        <f t="shared" si="2"/>
        <v>万隆公司家属院送审金额为66.73万元，审定金额为11.43万元，审减金额为55.3。主要原因是。</v>
      </c>
    </row>
    <row r="22" s="13" customFormat="1" ht="25" customHeight="1" spans="1:14">
      <c r="A22" s="35">
        <v>1.16</v>
      </c>
      <c r="B22" s="36" t="s">
        <v>167</v>
      </c>
      <c r="C22" s="37" t="s">
        <v>116</v>
      </c>
      <c r="D22" s="40">
        <v>10.39</v>
      </c>
      <c r="E22" s="38"/>
      <c r="F22" s="34"/>
      <c r="G22" s="39">
        <f t="shared" si="0"/>
        <v>10.39</v>
      </c>
      <c r="H22" s="39"/>
      <c r="I22" s="39"/>
      <c r="J22" s="39"/>
      <c r="K22" s="39">
        <f>总概算表!F21</f>
        <v>22.16</v>
      </c>
      <c r="L22" s="39">
        <f t="shared" si="1"/>
        <v>11.77</v>
      </c>
      <c r="M22" s="58"/>
      <c r="N22" s="59" t="str">
        <f t="shared" si="2"/>
        <v>物资局家属院送审金额为10.39万元，审定金额为22.16万元，审增金额为11.77万元。主要原因是。</v>
      </c>
    </row>
    <row r="23" s="13" customFormat="1" ht="25" customHeight="1" spans="1:14">
      <c r="A23" s="35">
        <v>1.17</v>
      </c>
      <c r="B23" s="36" t="s">
        <v>168</v>
      </c>
      <c r="C23" s="37" t="s">
        <v>116</v>
      </c>
      <c r="D23" s="40">
        <v>94.92</v>
      </c>
      <c r="E23" s="40"/>
      <c r="F23" s="34"/>
      <c r="G23" s="39">
        <f t="shared" si="0"/>
        <v>94.92</v>
      </c>
      <c r="H23" s="39"/>
      <c r="I23" s="39"/>
      <c r="J23" s="39"/>
      <c r="K23" s="39">
        <f>总概算表!F22</f>
        <v>5.5</v>
      </c>
      <c r="L23" s="39">
        <f t="shared" si="1"/>
        <v>-89.42</v>
      </c>
      <c r="M23" s="58"/>
      <c r="N23" s="59" t="str">
        <f t="shared" si="2"/>
        <v>西城大厦送审金额为94.92万元，审定金额为5.5万元，审减金额为89.42。主要原因是。</v>
      </c>
    </row>
    <row r="24" s="13" customFormat="1" ht="25" customHeight="1" spans="1:14">
      <c r="A24" s="35">
        <v>1.18</v>
      </c>
      <c r="B24" s="36" t="s">
        <v>169</v>
      </c>
      <c r="C24" s="37" t="s">
        <v>116</v>
      </c>
      <c r="D24" s="40">
        <v>131.97</v>
      </c>
      <c r="E24" s="40"/>
      <c r="F24" s="34"/>
      <c r="G24" s="39">
        <f t="shared" si="0"/>
        <v>131.97</v>
      </c>
      <c r="H24" s="39"/>
      <c r="I24" s="39"/>
      <c r="J24" s="39"/>
      <c r="K24" s="39">
        <f>总概算表!F23</f>
        <v>52.55</v>
      </c>
      <c r="L24" s="39">
        <f t="shared" si="1"/>
        <v>-79.42</v>
      </c>
      <c r="M24" s="58"/>
      <c r="N24" s="59" t="str">
        <f t="shared" si="2"/>
        <v>西门游园送审金额为131.97万元，审定金额为52.55万元，审减金额为79.42。主要原因是。</v>
      </c>
    </row>
    <row r="25" s="13" customFormat="1" ht="25" customHeight="1" spans="1:14">
      <c r="A25" s="35">
        <v>1.19</v>
      </c>
      <c r="B25" s="36" t="s">
        <v>170</v>
      </c>
      <c r="C25" s="37" t="s">
        <v>116</v>
      </c>
      <c r="D25" s="40">
        <v>33.72</v>
      </c>
      <c r="E25" s="40"/>
      <c r="F25" s="34"/>
      <c r="G25" s="39">
        <f t="shared" si="0"/>
        <v>33.72</v>
      </c>
      <c r="H25" s="39"/>
      <c r="I25" s="39"/>
      <c r="J25" s="39"/>
      <c r="K25" s="39">
        <f>总概算表!F24</f>
        <v>14.83</v>
      </c>
      <c r="L25" s="39">
        <f t="shared" si="1"/>
        <v>-18.89</v>
      </c>
      <c r="M25" s="58"/>
      <c r="N25" s="59" t="str">
        <f t="shared" si="2"/>
        <v>竹凌花园送审金额为33.72万元，审定金额为14.83万元，审减金额为18.89。主要原因是。</v>
      </c>
    </row>
    <row r="26" s="13" customFormat="1" ht="25" customHeight="1" spans="1:14">
      <c r="A26" s="42" t="s">
        <v>16</v>
      </c>
      <c r="B26" s="31" t="s">
        <v>17</v>
      </c>
      <c r="C26" s="32" t="s">
        <v>116</v>
      </c>
      <c r="D26" s="43"/>
      <c r="E26" s="43"/>
      <c r="F26" s="44">
        <f>F27+F28+F44+F47</f>
        <v>155.31</v>
      </c>
      <c r="G26" s="45">
        <f>F26</f>
        <v>155.31</v>
      </c>
      <c r="H26" s="34"/>
      <c r="I26" s="34"/>
      <c r="J26" s="45">
        <f>总概算表!F25</f>
        <v>5.63</v>
      </c>
      <c r="K26" s="34">
        <f>总概算表!F25</f>
        <v>5.63</v>
      </c>
      <c r="L26" s="34">
        <f t="shared" si="1"/>
        <v>-149.68</v>
      </c>
      <c r="M26" s="58"/>
      <c r="N26" s="59" t="str">
        <f t="shared" si="2"/>
        <v>工程建设其他费用送审金额为155.31万元，审定金额为5.63万元，审减金额为149.68。主要原因是。</v>
      </c>
    </row>
    <row r="27" s="13" customFormat="1" ht="25" customHeight="1" spans="1:14">
      <c r="A27" s="46" t="s">
        <v>19</v>
      </c>
      <c r="B27" s="47" t="s">
        <v>20</v>
      </c>
      <c r="C27" s="32" t="s">
        <v>116</v>
      </c>
      <c r="D27" s="38"/>
      <c r="E27" s="48"/>
      <c r="F27" s="49">
        <v>0</v>
      </c>
      <c r="G27" s="33">
        <f>F27</f>
        <v>0</v>
      </c>
      <c r="H27" s="34"/>
      <c r="I27" s="34"/>
      <c r="J27" s="45">
        <v>0</v>
      </c>
      <c r="K27" s="34">
        <f>J27</f>
        <v>0</v>
      </c>
      <c r="L27" s="34">
        <f t="shared" si="1"/>
        <v>0</v>
      </c>
      <c r="M27" s="58"/>
      <c r="N27" s="59" t="str">
        <f t="shared" si="2"/>
        <v>"</v>
      </c>
    </row>
    <row r="28" s="12" customFormat="1" ht="25" customHeight="1" spans="1:14">
      <c r="A28" s="46" t="s">
        <v>22</v>
      </c>
      <c r="B28" s="47" t="s">
        <v>23</v>
      </c>
      <c r="C28" s="32" t="s">
        <v>116</v>
      </c>
      <c r="D28" s="38"/>
      <c r="E28" s="38"/>
      <c r="F28" s="49">
        <v>125.41</v>
      </c>
      <c r="G28" s="33">
        <f t="shared" ref="G28:G53" si="3">F28</f>
        <v>125.41</v>
      </c>
      <c r="H28" s="39"/>
      <c r="I28" s="39"/>
      <c r="J28" s="56">
        <f>总概算表!E29</f>
        <v>23.73</v>
      </c>
      <c r="K28" s="39">
        <f t="shared" ref="K28:K53" si="4">J28</f>
        <v>23.73</v>
      </c>
      <c r="L28" s="39">
        <f t="shared" ref="L28:L54" si="5">ROUND(K28-G28,2)</f>
        <v>-101.68</v>
      </c>
      <c r="M28" s="58"/>
      <c r="N28" s="59" t="str">
        <f t="shared" si="2"/>
        <v>与项目建设有关的其他费用送审金额为125.41万元，审定金额为23.73万元，审减金额为101.68。主要原因是。</v>
      </c>
    </row>
    <row r="29" s="12" customFormat="1" ht="25" customHeight="1" spans="1:14">
      <c r="A29" s="50">
        <v>1</v>
      </c>
      <c r="B29" s="36" t="s">
        <v>117</v>
      </c>
      <c r="C29" s="37" t="s">
        <v>116</v>
      </c>
      <c r="D29" s="38"/>
      <c r="E29" s="38"/>
      <c r="F29" s="38">
        <f>F30+F31</f>
        <v>7.24</v>
      </c>
      <c r="G29" s="40">
        <f t="shared" si="3"/>
        <v>7.24</v>
      </c>
      <c r="H29" s="39"/>
      <c r="I29" s="39"/>
      <c r="J29" s="56">
        <f>总概算表!E30</f>
        <v>14.83</v>
      </c>
      <c r="K29" s="39">
        <f t="shared" si="4"/>
        <v>14.83</v>
      </c>
      <c r="L29" s="39">
        <f t="shared" si="5"/>
        <v>7.59</v>
      </c>
      <c r="M29" s="60"/>
      <c r="N29" s="59" t="str">
        <f t="shared" si="2"/>
        <v>前期工作咨询费送审金额为7.24万元，审定金额为14.83万元，审增金额为7.59万元。主要原因是。</v>
      </c>
    </row>
    <row r="30" s="12" customFormat="1" ht="25" customHeight="1" spans="1:14">
      <c r="A30" s="51" t="s">
        <v>26</v>
      </c>
      <c r="B30" s="36" t="s">
        <v>118</v>
      </c>
      <c r="C30" s="37" t="s">
        <v>116</v>
      </c>
      <c r="D30" s="38"/>
      <c r="E30" s="38"/>
      <c r="F30" s="38">
        <v>5.17</v>
      </c>
      <c r="G30" s="40">
        <f t="shared" si="3"/>
        <v>5.17</v>
      </c>
      <c r="H30" s="39"/>
      <c r="I30" s="39"/>
      <c r="J30" s="56">
        <f>总概算表!E31</f>
        <v>8.9</v>
      </c>
      <c r="K30" s="39">
        <f t="shared" si="4"/>
        <v>8.9</v>
      </c>
      <c r="L30" s="39">
        <f t="shared" si="5"/>
        <v>3.73</v>
      </c>
      <c r="M30" s="60"/>
      <c r="N30" s="59" t="str">
        <f t="shared" si="2"/>
        <v>编制可行性研究报告送审金额为5.17万元，审定金额为8.9万元，审增金额为3.73万元。主要原因是。</v>
      </c>
    </row>
    <row r="31" s="12" customFormat="1" ht="25" customHeight="1" spans="1:14">
      <c r="A31" s="51" t="s">
        <v>29</v>
      </c>
      <c r="B31" s="36" t="s">
        <v>171</v>
      </c>
      <c r="C31" s="37" t="s">
        <v>116</v>
      </c>
      <c r="D31" s="38"/>
      <c r="E31" s="38"/>
      <c r="F31" s="38">
        <v>2.07</v>
      </c>
      <c r="G31" s="40">
        <f t="shared" si="3"/>
        <v>2.07</v>
      </c>
      <c r="H31" s="39"/>
      <c r="I31" s="39"/>
      <c r="J31" s="56">
        <f>总概算表!E32</f>
        <v>163.17</v>
      </c>
      <c r="K31" s="39">
        <f t="shared" si="4"/>
        <v>163.17</v>
      </c>
      <c r="L31" s="39">
        <f t="shared" si="5"/>
        <v>161.1</v>
      </c>
      <c r="M31" s="60"/>
      <c r="N31" s="59" t="str">
        <f t="shared" si="2"/>
        <v>可行性研究报告评估费送审金额为2.07万元，审定金额为163.17万元，审增金额为161.1万元。主要原因是。</v>
      </c>
    </row>
    <row r="32" s="12" customFormat="1" ht="25" customHeight="1" spans="1:14">
      <c r="A32" s="51" t="s">
        <v>32</v>
      </c>
      <c r="B32" s="36" t="s">
        <v>120</v>
      </c>
      <c r="C32" s="37" t="s">
        <v>116</v>
      </c>
      <c r="D32" s="38"/>
      <c r="E32" s="38"/>
      <c r="F32" s="38">
        <v>37.62</v>
      </c>
      <c r="G32" s="40">
        <f t="shared" si="3"/>
        <v>37.62</v>
      </c>
      <c r="H32" s="39"/>
      <c r="I32" s="39"/>
      <c r="J32" s="56">
        <f>总概算表!E33</f>
        <v>163.17</v>
      </c>
      <c r="K32" s="39">
        <f t="shared" si="4"/>
        <v>163.17</v>
      </c>
      <c r="L32" s="39">
        <f t="shared" si="5"/>
        <v>125.55</v>
      </c>
      <c r="M32" s="60"/>
      <c r="N32" s="59" t="str">
        <f t="shared" si="2"/>
        <v>工程设计费送审金额为37.62万元，审定金额为163.17万元，审增金额为125.55万元。主要原因是。</v>
      </c>
    </row>
    <row r="33" s="12" customFormat="1" ht="25" customHeight="1" spans="1:14">
      <c r="A33" s="51" t="s">
        <v>35</v>
      </c>
      <c r="B33" s="36" t="s">
        <v>172</v>
      </c>
      <c r="C33" s="37" t="s">
        <v>116</v>
      </c>
      <c r="D33" s="38"/>
      <c r="E33" s="38"/>
      <c r="F33" s="38">
        <v>7.03</v>
      </c>
      <c r="G33" s="40">
        <f t="shared" si="3"/>
        <v>7.03</v>
      </c>
      <c r="H33" s="39"/>
      <c r="I33" s="39"/>
      <c r="J33" s="56">
        <f>总概算表!E34</f>
        <v>0</v>
      </c>
      <c r="K33" s="39">
        <f t="shared" si="4"/>
        <v>0</v>
      </c>
      <c r="L33" s="39">
        <f t="shared" si="5"/>
        <v>-7.03</v>
      </c>
      <c r="M33" s="60"/>
      <c r="N33" s="59" t="str">
        <f t="shared" si="2"/>
        <v>施工图审查费送审金额为7.03万元，审定金额为0万元，审减金额为7.03。主要原因是。</v>
      </c>
    </row>
    <row r="34" s="12" customFormat="1" ht="25" customHeight="1" spans="1:14">
      <c r="A34" s="51" t="s">
        <v>38</v>
      </c>
      <c r="B34" s="36" t="s">
        <v>122</v>
      </c>
      <c r="C34" s="37" t="s">
        <v>116</v>
      </c>
      <c r="D34" s="38"/>
      <c r="E34" s="38"/>
      <c r="F34" s="38">
        <v>6.37</v>
      </c>
      <c r="G34" s="40">
        <f t="shared" si="3"/>
        <v>6.37</v>
      </c>
      <c r="H34" s="39"/>
      <c r="I34" s="39"/>
      <c r="J34" s="56" t="e">
        <f>总概算表!#REF!</f>
        <v>#REF!</v>
      </c>
      <c r="K34" s="39" t="e">
        <f t="shared" si="4"/>
        <v>#REF!</v>
      </c>
      <c r="L34" s="39" t="e">
        <f t="shared" si="5"/>
        <v>#REF!</v>
      </c>
      <c r="M34" s="60"/>
      <c r="N34" s="59" t="e">
        <f t="shared" si="2"/>
        <v>#REF!</v>
      </c>
    </row>
    <row r="35" s="12" customFormat="1" ht="25" customHeight="1" spans="1:14">
      <c r="A35" s="51" t="s">
        <v>41</v>
      </c>
      <c r="B35" s="36" t="s">
        <v>124</v>
      </c>
      <c r="C35" s="37" t="s">
        <v>116</v>
      </c>
      <c r="D35" s="38"/>
      <c r="E35" s="38"/>
      <c r="F35" s="38">
        <f>F36+F37+F38+F39</f>
        <v>27.39</v>
      </c>
      <c r="G35" s="40">
        <f t="shared" si="3"/>
        <v>27.39</v>
      </c>
      <c r="H35" s="39"/>
      <c r="I35" s="39"/>
      <c r="J35" s="56" t="e">
        <f>总概算表!#REF!</f>
        <v>#REF!</v>
      </c>
      <c r="K35" s="39" t="e">
        <f t="shared" si="4"/>
        <v>#REF!</v>
      </c>
      <c r="L35" s="39" t="e">
        <f t="shared" si="5"/>
        <v>#REF!</v>
      </c>
      <c r="M35" s="60"/>
      <c r="N35" s="59" t="e">
        <f t="shared" si="2"/>
        <v>#REF!</v>
      </c>
    </row>
    <row r="36" s="12" customFormat="1" ht="25" customHeight="1" spans="1:14">
      <c r="A36" s="51" t="s">
        <v>44</v>
      </c>
      <c r="B36" s="36" t="s">
        <v>125</v>
      </c>
      <c r="C36" s="37" t="s">
        <v>116</v>
      </c>
      <c r="D36" s="38"/>
      <c r="E36" s="38"/>
      <c r="F36" s="38">
        <v>3.15</v>
      </c>
      <c r="G36" s="40">
        <f t="shared" si="3"/>
        <v>3.15</v>
      </c>
      <c r="H36" s="39"/>
      <c r="I36" s="39"/>
      <c r="J36" s="56" t="e">
        <f>总概算表!#REF!</f>
        <v>#REF!</v>
      </c>
      <c r="K36" s="39" t="e">
        <f t="shared" si="4"/>
        <v>#REF!</v>
      </c>
      <c r="L36" s="39" t="e">
        <f t="shared" si="5"/>
        <v>#REF!</v>
      </c>
      <c r="M36" s="60"/>
      <c r="N36" s="59" t="e">
        <f t="shared" si="2"/>
        <v>#REF!</v>
      </c>
    </row>
    <row r="37" s="12" customFormat="1" ht="25" customHeight="1" spans="1:14">
      <c r="A37" s="51" t="s">
        <v>46</v>
      </c>
      <c r="B37" s="36" t="s">
        <v>126</v>
      </c>
      <c r="C37" s="37" t="s">
        <v>116</v>
      </c>
      <c r="D37" s="38"/>
      <c r="E37" s="38"/>
      <c r="F37" s="38">
        <v>6.3</v>
      </c>
      <c r="G37" s="40">
        <f t="shared" si="3"/>
        <v>6.3</v>
      </c>
      <c r="H37" s="39"/>
      <c r="I37" s="39"/>
      <c r="J37" s="56" t="e">
        <f>总概算表!#REF!</f>
        <v>#REF!</v>
      </c>
      <c r="K37" s="39" t="e">
        <f t="shared" si="4"/>
        <v>#REF!</v>
      </c>
      <c r="L37" s="39" t="e">
        <f t="shared" si="5"/>
        <v>#REF!</v>
      </c>
      <c r="M37" s="60"/>
      <c r="N37" s="59" t="e">
        <f t="shared" si="2"/>
        <v>#REF!</v>
      </c>
    </row>
    <row r="38" s="12" customFormat="1" ht="25" customHeight="1" spans="1:14">
      <c r="A38" s="51" t="s">
        <v>49</v>
      </c>
      <c r="B38" s="36" t="s">
        <v>127</v>
      </c>
      <c r="C38" s="37" t="s">
        <v>116</v>
      </c>
      <c r="D38" s="38"/>
      <c r="E38" s="38"/>
      <c r="F38" s="38">
        <v>6.3</v>
      </c>
      <c r="G38" s="40">
        <f t="shared" si="3"/>
        <v>6.3</v>
      </c>
      <c r="H38" s="39"/>
      <c r="I38" s="39"/>
      <c r="J38" s="56" t="e">
        <f>总概算表!#REF!</f>
        <v>#REF!</v>
      </c>
      <c r="K38" s="39" t="e">
        <f t="shared" si="4"/>
        <v>#REF!</v>
      </c>
      <c r="L38" s="39" t="e">
        <f t="shared" si="5"/>
        <v>#REF!</v>
      </c>
      <c r="M38" s="60"/>
      <c r="N38" s="59" t="e">
        <f t="shared" si="2"/>
        <v>#REF!</v>
      </c>
    </row>
    <row r="39" s="12" customFormat="1" ht="25" customHeight="1" spans="1:14">
      <c r="A39" s="51" t="s">
        <v>51</v>
      </c>
      <c r="B39" s="36" t="s">
        <v>52</v>
      </c>
      <c r="C39" s="37" t="s">
        <v>116</v>
      </c>
      <c r="D39" s="52"/>
      <c r="E39" s="52"/>
      <c r="F39" s="52">
        <v>11.64</v>
      </c>
      <c r="G39" s="40">
        <f t="shared" si="3"/>
        <v>11.64</v>
      </c>
      <c r="H39" s="39"/>
      <c r="I39" s="39"/>
      <c r="J39" s="56" t="e">
        <f>总概算表!#REF!</f>
        <v>#REF!</v>
      </c>
      <c r="K39" s="39" t="e">
        <f t="shared" si="4"/>
        <v>#REF!</v>
      </c>
      <c r="L39" s="39" t="e">
        <f t="shared" si="5"/>
        <v>#REF!</v>
      </c>
      <c r="M39" s="60"/>
      <c r="N39" s="59" t="e">
        <f t="shared" si="2"/>
        <v>#REF!</v>
      </c>
    </row>
    <row r="40" s="12" customFormat="1" ht="25" customHeight="1" spans="1:14">
      <c r="A40" s="51" t="s">
        <v>53</v>
      </c>
      <c r="B40" s="36" t="s">
        <v>128</v>
      </c>
      <c r="C40" s="37" t="s">
        <v>116</v>
      </c>
      <c r="D40" s="52"/>
      <c r="E40" s="52"/>
      <c r="F40" s="52">
        <v>2.81</v>
      </c>
      <c r="G40" s="40">
        <f t="shared" si="3"/>
        <v>2.81</v>
      </c>
      <c r="H40" s="39"/>
      <c r="I40" s="39"/>
      <c r="J40" s="56" t="e">
        <f>总概算表!#REF!</f>
        <v>#REF!</v>
      </c>
      <c r="K40" s="39" t="e">
        <f t="shared" si="4"/>
        <v>#REF!</v>
      </c>
      <c r="L40" s="39" t="e">
        <f t="shared" si="5"/>
        <v>#REF!</v>
      </c>
      <c r="M40" s="60"/>
      <c r="N40" s="59" t="e">
        <f t="shared" si="2"/>
        <v>#REF!</v>
      </c>
    </row>
    <row r="41" s="12" customFormat="1" ht="25" customHeight="1" spans="1:14">
      <c r="A41" s="51" t="s">
        <v>56</v>
      </c>
      <c r="B41" s="36" t="s">
        <v>129</v>
      </c>
      <c r="C41" s="37" t="s">
        <v>116</v>
      </c>
      <c r="D41" s="38"/>
      <c r="E41" s="38"/>
      <c r="F41" s="38">
        <v>29.2</v>
      </c>
      <c r="G41" s="40">
        <f t="shared" si="3"/>
        <v>29.2</v>
      </c>
      <c r="H41" s="39"/>
      <c r="I41" s="39"/>
      <c r="J41" s="56" t="e">
        <f>总概算表!#REF!</f>
        <v>#REF!</v>
      </c>
      <c r="K41" s="39" t="e">
        <f t="shared" si="4"/>
        <v>#REF!</v>
      </c>
      <c r="L41" s="39" t="e">
        <f t="shared" si="5"/>
        <v>#REF!</v>
      </c>
      <c r="M41" s="60"/>
      <c r="N41" s="59" t="e">
        <f t="shared" si="2"/>
        <v>#REF!</v>
      </c>
    </row>
    <row r="42" s="12" customFormat="1" ht="25" customHeight="1" spans="1:14">
      <c r="A42" s="51" t="s">
        <v>59</v>
      </c>
      <c r="B42" s="36" t="s">
        <v>130</v>
      </c>
      <c r="C42" s="37" t="s">
        <v>116</v>
      </c>
      <c r="D42" s="38"/>
      <c r="E42" s="38"/>
      <c r="F42" s="38">
        <v>4.84</v>
      </c>
      <c r="G42" s="40">
        <f t="shared" si="3"/>
        <v>4.84</v>
      </c>
      <c r="H42" s="39"/>
      <c r="I42" s="39"/>
      <c r="J42" s="56" t="e">
        <f>总概算表!#REF!</f>
        <v>#REF!</v>
      </c>
      <c r="K42" s="39" t="e">
        <f t="shared" si="4"/>
        <v>#REF!</v>
      </c>
      <c r="L42" s="39" t="e">
        <f t="shared" si="5"/>
        <v>#REF!</v>
      </c>
      <c r="M42" s="60"/>
      <c r="N42" s="59" t="e">
        <f t="shared" si="2"/>
        <v>#REF!</v>
      </c>
    </row>
    <row r="43" s="12" customFormat="1" ht="25" customHeight="1" spans="1:14">
      <c r="A43" s="51" t="s">
        <v>62</v>
      </c>
      <c r="B43" s="36" t="s">
        <v>131</v>
      </c>
      <c r="C43" s="37" t="s">
        <v>116</v>
      </c>
      <c r="D43" s="38"/>
      <c r="E43" s="38"/>
      <c r="F43" s="38">
        <v>2.9</v>
      </c>
      <c r="G43" s="40">
        <f t="shared" si="3"/>
        <v>2.9</v>
      </c>
      <c r="H43" s="39"/>
      <c r="I43" s="39"/>
      <c r="J43" s="56" t="e">
        <f>总概算表!#REF!</f>
        <v>#REF!</v>
      </c>
      <c r="K43" s="39" t="e">
        <f t="shared" si="4"/>
        <v>#REF!</v>
      </c>
      <c r="L43" s="39" t="e">
        <f t="shared" si="5"/>
        <v>#REF!</v>
      </c>
      <c r="M43" s="60"/>
      <c r="N43" s="59" t="e">
        <f t="shared" si="2"/>
        <v>#REF!</v>
      </c>
    </row>
    <row r="44" s="12" customFormat="1" ht="25" customHeight="1" spans="1:14">
      <c r="A44" s="46" t="s">
        <v>64</v>
      </c>
      <c r="B44" s="31" t="s">
        <v>132</v>
      </c>
      <c r="C44" s="32" t="s">
        <v>116</v>
      </c>
      <c r="D44" s="38"/>
      <c r="E44" s="38"/>
      <c r="F44" s="49">
        <f>F45+F46</f>
        <v>23.13</v>
      </c>
      <c r="G44" s="33">
        <f t="shared" si="3"/>
        <v>23.13</v>
      </c>
      <c r="H44" s="39"/>
      <c r="I44" s="39"/>
      <c r="J44" s="56"/>
      <c r="K44" s="39"/>
      <c r="L44" s="39"/>
      <c r="M44" s="60"/>
      <c r="N44" s="59" t="str">
        <f t="shared" ref="N44:N51" si="6">IF(L44&lt;0,B44&amp;"送审金额为"&amp;G44&amp;C44&amp;"，审定金额为"&amp;K44&amp;C44&amp;"，审减金额为"&amp;-L44&amp;"。主要原因是"&amp;M44&amp;"。",IF(L44&gt;0,B44&amp;"送审金额为"&amp;G44&amp;C44&amp;"，审定金额为"&amp;K44&amp;C44&amp;"，审增金额为"&amp;L44&amp;"万元。主要原因是"&amp;M44&amp;"。",""""))</f>
        <v>"</v>
      </c>
    </row>
    <row r="45" s="12" customFormat="1" ht="25" customHeight="1" spans="1:14">
      <c r="A45" s="51" t="s">
        <v>66</v>
      </c>
      <c r="B45" s="36" t="s">
        <v>133</v>
      </c>
      <c r="C45" s="37" t="s">
        <v>116</v>
      </c>
      <c r="D45" s="38"/>
      <c r="E45" s="38"/>
      <c r="F45" s="38">
        <v>22.64</v>
      </c>
      <c r="G45" s="40">
        <f t="shared" si="3"/>
        <v>22.64</v>
      </c>
      <c r="H45" s="39"/>
      <c r="I45" s="39"/>
      <c r="J45" s="56"/>
      <c r="K45" s="39"/>
      <c r="L45" s="39"/>
      <c r="M45" s="60"/>
      <c r="N45" s="59" t="str">
        <f t="shared" si="6"/>
        <v>"</v>
      </c>
    </row>
    <row r="46" s="12" customFormat="1" ht="25" customHeight="1" spans="1:14">
      <c r="A46" s="51" t="s">
        <v>32</v>
      </c>
      <c r="B46" s="93" t="s">
        <v>69</v>
      </c>
      <c r="C46" s="37" t="s">
        <v>116</v>
      </c>
      <c r="D46" s="38"/>
      <c r="E46" s="38"/>
      <c r="F46" s="38">
        <v>0.49</v>
      </c>
      <c r="G46" s="40">
        <f t="shared" ref="G45:G51" si="7">F46</f>
        <v>0.49</v>
      </c>
      <c r="H46" s="39"/>
      <c r="I46" s="39"/>
      <c r="J46" s="56"/>
      <c r="K46" s="39"/>
      <c r="L46" s="39"/>
      <c r="M46" s="60"/>
      <c r="N46" s="59" t="str">
        <f t="shared" si="6"/>
        <v>"</v>
      </c>
    </row>
    <row r="47" s="12" customFormat="1" ht="25" customHeight="1" spans="1:14">
      <c r="A47" s="46" t="s">
        <v>71</v>
      </c>
      <c r="B47" s="31" t="s">
        <v>135</v>
      </c>
      <c r="C47" s="32" t="s">
        <v>116</v>
      </c>
      <c r="D47" s="38"/>
      <c r="E47" s="38"/>
      <c r="F47" s="49">
        <f>F48+F49</f>
        <v>6.77</v>
      </c>
      <c r="G47" s="33">
        <f t="shared" si="7"/>
        <v>6.77</v>
      </c>
      <c r="H47" s="39"/>
      <c r="I47" s="39"/>
      <c r="J47" s="56"/>
      <c r="K47" s="39"/>
      <c r="L47" s="39"/>
      <c r="M47" s="60"/>
      <c r="N47" s="59" t="str">
        <f t="shared" si="6"/>
        <v>"</v>
      </c>
    </row>
    <row r="48" s="12" customFormat="1" ht="25" customHeight="1" spans="1:14">
      <c r="A48" s="51" t="s">
        <v>66</v>
      </c>
      <c r="B48" s="36" t="s">
        <v>136</v>
      </c>
      <c r="C48" s="37" t="s">
        <v>116</v>
      </c>
      <c r="D48" s="38"/>
      <c r="E48" s="38"/>
      <c r="F48" s="38">
        <v>4.84</v>
      </c>
      <c r="G48" s="40">
        <f t="shared" si="7"/>
        <v>4.84</v>
      </c>
      <c r="H48" s="39"/>
      <c r="I48" s="39"/>
      <c r="J48" s="56"/>
      <c r="K48" s="39"/>
      <c r="L48" s="39"/>
      <c r="M48" s="60"/>
      <c r="N48" s="59" t="str">
        <f t="shared" si="6"/>
        <v>"</v>
      </c>
    </row>
    <row r="49" s="12" customFormat="1" ht="25" customHeight="1" spans="1:14">
      <c r="A49" s="51" t="s">
        <v>32</v>
      </c>
      <c r="B49" s="36" t="s">
        <v>137</v>
      </c>
      <c r="C49" s="37" t="s">
        <v>116</v>
      </c>
      <c r="D49" s="38"/>
      <c r="E49" s="38"/>
      <c r="F49" s="38">
        <v>1.93</v>
      </c>
      <c r="G49" s="40">
        <f t="shared" si="7"/>
        <v>1.93</v>
      </c>
      <c r="H49" s="39"/>
      <c r="I49" s="39"/>
      <c r="J49" s="56"/>
      <c r="K49" s="39"/>
      <c r="L49" s="39"/>
      <c r="M49" s="60"/>
      <c r="N49" s="59" t="str">
        <f t="shared" si="6"/>
        <v>"</v>
      </c>
    </row>
    <row r="50" s="12" customFormat="1" ht="25" customHeight="1" spans="1:14">
      <c r="A50" s="42" t="s">
        <v>76</v>
      </c>
      <c r="B50" s="31" t="s">
        <v>77</v>
      </c>
      <c r="C50" s="37" t="s">
        <v>116</v>
      </c>
      <c r="D50" s="53"/>
      <c r="E50" s="53"/>
      <c r="F50" s="44">
        <f>F51</f>
        <v>56.12</v>
      </c>
      <c r="G50" s="45">
        <f t="shared" si="7"/>
        <v>56.12</v>
      </c>
      <c r="H50" s="39"/>
      <c r="I50" s="39"/>
      <c r="J50" s="56">
        <f>J51</f>
        <v>0</v>
      </c>
      <c r="K50" s="34">
        <f>J50</f>
        <v>0</v>
      </c>
      <c r="L50" s="39">
        <f>ROUND(K50-G50,2)</f>
        <v>-56.12</v>
      </c>
      <c r="M50" s="58"/>
      <c r="N50" s="59"/>
    </row>
    <row r="51" s="12" customFormat="1" ht="25" customHeight="1" spans="1:14">
      <c r="A51" s="54">
        <v>1</v>
      </c>
      <c r="B51" s="36" t="s">
        <v>78</v>
      </c>
      <c r="C51" s="37" t="s">
        <v>116</v>
      </c>
      <c r="D51" s="53"/>
      <c r="E51" s="53"/>
      <c r="F51" s="55">
        <f>ROUND((G5+G26)*5%,2)</f>
        <v>56.12</v>
      </c>
      <c r="G51" s="56">
        <f t="shared" si="7"/>
        <v>56.12</v>
      </c>
      <c r="H51" s="39"/>
      <c r="I51" s="39"/>
      <c r="J51" s="56">
        <f>总概算表!E37</f>
        <v>0</v>
      </c>
      <c r="K51" s="39">
        <f>J51</f>
        <v>0</v>
      </c>
      <c r="L51" s="39">
        <f>ROUND(K51-G51,2)</f>
        <v>-56.12</v>
      </c>
      <c r="M51" s="60"/>
      <c r="N51" s="59" t="str">
        <f t="shared" si="6"/>
        <v>基本预备费送审金额为56.12万元，审定金额为0万元，审减金额为56.12。主要原因是。</v>
      </c>
    </row>
    <row r="52" s="12" customFormat="1" ht="25" customHeight="1" spans="1:13">
      <c r="A52" s="42" t="s">
        <v>80</v>
      </c>
      <c r="B52" s="31" t="s">
        <v>81</v>
      </c>
      <c r="C52" s="37" t="s">
        <v>116</v>
      </c>
      <c r="D52" s="53"/>
      <c r="E52" s="53"/>
      <c r="F52" s="44"/>
      <c r="G52" s="45">
        <f>G5+G26+G50</f>
        <v>1178.46</v>
      </c>
      <c r="H52" s="39"/>
      <c r="I52" s="39"/>
      <c r="J52" s="56"/>
      <c r="K52" s="34">
        <f>总概算表!F38</f>
        <v>0</v>
      </c>
      <c r="L52" s="39">
        <f>ROUND(K52-G52,2)</f>
        <v>-1178.46</v>
      </c>
      <c r="M52" s="58"/>
    </row>
  </sheetData>
  <mergeCells count="9">
    <mergeCell ref="A1:M1"/>
    <mergeCell ref="A2:M2"/>
    <mergeCell ref="D3:G3"/>
    <mergeCell ref="H3:K3"/>
    <mergeCell ref="A3:A4"/>
    <mergeCell ref="B3:B4"/>
    <mergeCell ref="C3:C4"/>
    <mergeCell ref="L3:L4"/>
    <mergeCell ref="M3:M4"/>
  </mergeCells>
  <pageMargins left="0.751388888888889" right="0.751388888888889" top="1" bottom="1" header="0.5" footer="0.5"/>
  <pageSetup paperSize="9" scale="44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opLeftCell="A6" workbookViewId="0">
      <selection activeCell="A5" sqref="A5:B5"/>
    </sheetView>
  </sheetViews>
  <sheetFormatPr defaultColWidth="9" defaultRowHeight="18.75" customHeight="1" outlineLevelCol="7"/>
  <cols>
    <col min="1" max="1" width="7" style="12" customWidth="1"/>
    <col min="2" max="2" width="26.4" style="62" customWidth="1"/>
    <col min="3" max="3" width="9.5" style="63" customWidth="1"/>
    <col min="4" max="4" width="8.9" style="63" customWidth="1"/>
    <col min="5" max="5" width="8.25" style="63" customWidth="1"/>
    <col min="6" max="6" width="9.875" style="64" customWidth="1"/>
    <col min="7" max="7" width="9.25" style="63" customWidth="1"/>
    <col min="8" max="8" width="19.6" style="65" customWidth="1"/>
    <col min="9" max="16384" width="9" style="12"/>
  </cols>
  <sheetData>
    <row r="1" s="12" customFormat="1" ht="30" customHeight="1" spans="1:8">
      <c r="A1" s="66" t="s">
        <v>0</v>
      </c>
      <c r="B1" s="67"/>
      <c r="C1" s="66"/>
      <c r="D1" s="66"/>
      <c r="E1" s="66"/>
      <c r="F1" s="68"/>
      <c r="G1" s="66"/>
      <c r="H1" s="69"/>
    </row>
    <row r="2" s="12" customFormat="1" ht="30" customHeight="1" spans="1:8">
      <c r="A2" s="70" t="s">
        <v>151</v>
      </c>
      <c r="B2" s="70"/>
      <c r="C2" s="71"/>
      <c r="D2" s="71"/>
      <c r="E2" s="71"/>
      <c r="F2" s="39"/>
      <c r="G2" s="71"/>
      <c r="H2" s="72"/>
    </row>
    <row r="3" s="61" customFormat="1" ht="30" customHeight="1" spans="1:8">
      <c r="A3" s="71" t="s">
        <v>2</v>
      </c>
      <c r="B3" s="70" t="s">
        <v>3</v>
      </c>
      <c r="C3" s="71" t="s">
        <v>4</v>
      </c>
      <c r="D3" s="71"/>
      <c r="E3" s="71"/>
      <c r="F3" s="39"/>
      <c r="G3" s="71" t="s">
        <v>5</v>
      </c>
      <c r="H3" s="73" t="s">
        <v>6</v>
      </c>
    </row>
    <row r="4" s="61" customFormat="1" ht="41" customHeight="1" spans="1:8">
      <c r="A4" s="71"/>
      <c r="B4" s="70"/>
      <c r="C4" s="71" t="s">
        <v>7</v>
      </c>
      <c r="D4" s="71" t="s">
        <v>8</v>
      </c>
      <c r="E4" s="71" t="s">
        <v>9</v>
      </c>
      <c r="F4" s="39" t="s">
        <v>10</v>
      </c>
      <c r="G4" s="71"/>
      <c r="H4" s="73"/>
    </row>
    <row r="5" s="12" customFormat="1" ht="25" customHeight="1" spans="1:8">
      <c r="A5" s="30" t="s">
        <v>11</v>
      </c>
      <c r="B5" s="31" t="s">
        <v>12</v>
      </c>
      <c r="C5" s="74">
        <f>C6</f>
        <v>0</v>
      </c>
      <c r="D5" s="74">
        <f>D6</f>
        <v>0</v>
      </c>
      <c r="E5" s="74"/>
      <c r="F5" s="74">
        <f t="shared" ref="F5:F25" si="0">C5+D5</f>
        <v>0</v>
      </c>
      <c r="G5" s="75"/>
      <c r="H5" s="76"/>
    </row>
    <row r="6" s="12" customFormat="1" ht="51" customHeight="1" spans="1:8">
      <c r="A6" s="35">
        <v>1</v>
      </c>
      <c r="B6" s="36" t="s">
        <v>14</v>
      </c>
      <c r="C6" s="77">
        <f>SUM(C7:C10)</f>
        <v>0</v>
      </c>
      <c r="D6" s="77"/>
      <c r="E6" s="77"/>
      <c r="F6" s="78">
        <f t="shared" si="0"/>
        <v>0</v>
      </c>
      <c r="G6" s="79"/>
      <c r="H6" s="80"/>
    </row>
    <row r="7" s="12" customFormat="1" ht="25" customHeight="1" spans="1:8">
      <c r="A7" s="35">
        <v>1.1</v>
      </c>
      <c r="B7" s="36" t="s">
        <v>175</v>
      </c>
      <c r="C7" s="77"/>
      <c r="D7" s="77"/>
      <c r="E7" s="77"/>
      <c r="F7" s="78">
        <f t="shared" si="0"/>
        <v>0</v>
      </c>
      <c r="G7" s="79"/>
      <c r="H7" s="80"/>
    </row>
    <row r="8" s="12" customFormat="1" ht="25" customHeight="1" spans="1:8">
      <c r="A8" s="35">
        <v>1.2</v>
      </c>
      <c r="B8" s="36" t="s">
        <v>176</v>
      </c>
      <c r="C8" s="77"/>
      <c r="D8" s="77"/>
      <c r="E8" s="77"/>
      <c r="F8" s="78">
        <f t="shared" si="0"/>
        <v>0</v>
      </c>
      <c r="G8" s="79"/>
      <c r="H8" s="80"/>
    </row>
    <row r="9" s="12" customFormat="1" ht="25" customHeight="1" spans="1:8">
      <c r="A9" s="35">
        <v>1.3</v>
      </c>
      <c r="B9" s="36" t="s">
        <v>177</v>
      </c>
      <c r="C9" s="77"/>
      <c r="D9" s="77"/>
      <c r="E9" s="77"/>
      <c r="F9" s="78">
        <f t="shared" si="0"/>
        <v>0</v>
      </c>
      <c r="G9" s="79"/>
      <c r="H9" s="80"/>
    </row>
    <row r="10" s="12" customFormat="1" ht="25" customHeight="1" spans="1:8">
      <c r="A10" s="35">
        <v>1.4</v>
      </c>
      <c r="B10" s="36" t="s">
        <v>178</v>
      </c>
      <c r="C10" s="77"/>
      <c r="D10" s="77"/>
      <c r="E10" s="77"/>
      <c r="F10" s="78">
        <f t="shared" si="0"/>
        <v>0</v>
      </c>
      <c r="G10" s="79"/>
      <c r="H10" s="80"/>
    </row>
    <row r="11" s="12" customFormat="1" ht="25" customHeight="1" spans="1:8">
      <c r="A11" s="35">
        <v>1.5</v>
      </c>
      <c r="B11" s="36" t="s">
        <v>179</v>
      </c>
      <c r="C11" s="77"/>
      <c r="D11" s="77"/>
      <c r="E11" s="77"/>
      <c r="F11" s="78">
        <f t="shared" si="0"/>
        <v>0</v>
      </c>
      <c r="G11" s="79"/>
      <c r="H11" s="80"/>
    </row>
    <row r="12" s="12" customFormat="1" ht="25" customHeight="1" spans="1:8">
      <c r="A12" s="35">
        <v>1.6</v>
      </c>
      <c r="B12" s="36" t="s">
        <v>180</v>
      </c>
      <c r="C12" s="77"/>
      <c r="D12" s="77"/>
      <c r="E12" s="77"/>
      <c r="F12" s="78">
        <f t="shared" si="0"/>
        <v>0</v>
      </c>
      <c r="G12" s="79"/>
      <c r="H12" s="80"/>
    </row>
    <row r="13" s="12" customFormat="1" ht="25" customHeight="1" spans="1:8">
      <c r="A13" s="35">
        <v>1.7</v>
      </c>
      <c r="B13" s="36" t="s">
        <v>181</v>
      </c>
      <c r="C13" s="77"/>
      <c r="D13" s="77"/>
      <c r="E13" s="77"/>
      <c r="F13" s="78">
        <f t="shared" si="0"/>
        <v>0</v>
      </c>
      <c r="G13" s="79"/>
      <c r="H13" s="80"/>
    </row>
    <row r="14" s="12" customFormat="1" ht="25" customHeight="1" spans="1:8">
      <c r="A14" s="35">
        <v>1.8</v>
      </c>
      <c r="B14" s="36" t="s">
        <v>182</v>
      </c>
      <c r="C14" s="77"/>
      <c r="D14" s="77"/>
      <c r="E14" s="77"/>
      <c r="F14" s="78">
        <f t="shared" si="0"/>
        <v>0</v>
      </c>
      <c r="G14" s="79"/>
      <c r="H14" s="80"/>
    </row>
    <row r="15" s="12" customFormat="1" ht="25" customHeight="1" spans="1:8">
      <c r="A15" s="35">
        <v>1.9</v>
      </c>
      <c r="B15" s="36" t="s">
        <v>183</v>
      </c>
      <c r="C15" s="77"/>
      <c r="D15" s="77"/>
      <c r="E15" s="77"/>
      <c r="F15" s="78">
        <f t="shared" si="0"/>
        <v>0</v>
      </c>
      <c r="G15" s="79"/>
      <c r="H15" s="80"/>
    </row>
    <row r="16" s="12" customFormat="1" ht="25" customHeight="1" spans="1:8">
      <c r="A16" s="41">
        <v>1.1</v>
      </c>
      <c r="B16" s="36" t="s">
        <v>184</v>
      </c>
      <c r="C16" s="77"/>
      <c r="D16" s="77"/>
      <c r="E16" s="77"/>
      <c r="F16" s="78">
        <f t="shared" si="0"/>
        <v>0</v>
      </c>
      <c r="G16" s="79"/>
      <c r="H16" s="80"/>
    </row>
    <row r="17" s="12" customFormat="1" ht="25" customHeight="1" spans="1:8">
      <c r="A17" s="35">
        <v>1.11</v>
      </c>
      <c r="B17" s="36" t="s">
        <v>185</v>
      </c>
      <c r="C17" s="77"/>
      <c r="D17" s="77"/>
      <c r="E17" s="77"/>
      <c r="F17" s="78">
        <f t="shared" si="0"/>
        <v>0</v>
      </c>
      <c r="G17" s="79"/>
      <c r="H17" s="80"/>
    </row>
    <row r="18" s="12" customFormat="1" ht="25" customHeight="1" spans="1:8">
      <c r="A18" s="35">
        <v>1.12</v>
      </c>
      <c r="B18" s="36" t="s">
        <v>186</v>
      </c>
      <c r="C18" s="77"/>
      <c r="D18" s="77"/>
      <c r="E18" s="77"/>
      <c r="F18" s="78">
        <f t="shared" si="0"/>
        <v>0</v>
      </c>
      <c r="G18" s="79"/>
      <c r="H18" s="80"/>
    </row>
    <row r="19" s="12" customFormat="1" ht="25" customHeight="1" spans="1:8">
      <c r="A19" s="35">
        <v>1.13</v>
      </c>
      <c r="B19" s="36" t="s">
        <v>187</v>
      </c>
      <c r="C19" s="77"/>
      <c r="D19" s="77"/>
      <c r="E19" s="77"/>
      <c r="F19" s="78">
        <f t="shared" si="0"/>
        <v>0</v>
      </c>
      <c r="G19" s="79"/>
      <c r="H19" s="80"/>
    </row>
    <row r="20" s="12" customFormat="1" ht="25" customHeight="1" spans="1:8">
      <c r="A20" s="35">
        <v>1.14</v>
      </c>
      <c r="B20" s="36" t="s">
        <v>188</v>
      </c>
      <c r="C20" s="77"/>
      <c r="D20" s="77"/>
      <c r="E20" s="77"/>
      <c r="F20" s="78">
        <f t="shared" si="0"/>
        <v>0</v>
      </c>
      <c r="G20" s="79"/>
      <c r="H20" s="80"/>
    </row>
    <row r="21" s="12" customFormat="1" ht="25" customHeight="1" spans="1:8">
      <c r="A21" s="35">
        <v>1.15</v>
      </c>
      <c r="B21" s="36" t="s">
        <v>189</v>
      </c>
      <c r="C21" s="77"/>
      <c r="D21" s="77"/>
      <c r="E21" s="77"/>
      <c r="F21" s="78">
        <f t="shared" si="0"/>
        <v>0</v>
      </c>
      <c r="G21" s="79"/>
      <c r="H21" s="80"/>
    </row>
    <row r="22" s="12" customFormat="1" ht="25" customHeight="1" spans="1:8">
      <c r="A22" s="35">
        <v>1.16</v>
      </c>
      <c r="B22" s="36" t="s">
        <v>190</v>
      </c>
      <c r="C22" s="77"/>
      <c r="D22" s="77"/>
      <c r="E22" s="77"/>
      <c r="F22" s="78">
        <f t="shared" si="0"/>
        <v>0</v>
      </c>
      <c r="G22" s="79"/>
      <c r="H22" s="80"/>
    </row>
    <row r="23" s="12" customFormat="1" ht="25" customHeight="1" spans="1:8">
      <c r="A23" s="35" t="s">
        <v>16</v>
      </c>
      <c r="B23" s="36" t="s">
        <v>17</v>
      </c>
      <c r="C23" s="77"/>
      <c r="D23" s="77"/>
      <c r="E23" s="77"/>
      <c r="F23" s="78">
        <f t="shared" si="0"/>
        <v>0</v>
      </c>
      <c r="G23" s="79"/>
      <c r="H23" s="80"/>
    </row>
    <row r="24" s="12" customFormat="1" ht="25" customHeight="1" spans="1:8">
      <c r="A24" s="35" t="s">
        <v>19</v>
      </c>
      <c r="B24" s="36" t="s">
        <v>20</v>
      </c>
      <c r="C24" s="77"/>
      <c r="D24" s="77"/>
      <c r="E24" s="77"/>
      <c r="F24" s="78">
        <f t="shared" si="0"/>
        <v>0</v>
      </c>
      <c r="G24" s="79"/>
      <c r="H24" s="80"/>
    </row>
    <row r="25" s="12" customFormat="1" ht="25" customHeight="1" spans="1:8">
      <c r="A25" s="35" t="s">
        <v>22</v>
      </c>
      <c r="B25" s="36" t="s">
        <v>23</v>
      </c>
      <c r="C25" s="55"/>
      <c r="D25" s="55"/>
      <c r="E25" s="44"/>
      <c r="F25" s="78">
        <f t="shared" si="0"/>
        <v>0</v>
      </c>
      <c r="G25" s="75"/>
      <c r="H25" s="43"/>
    </row>
    <row r="26" s="12" customFormat="1" ht="25" customHeight="1" spans="1:8">
      <c r="A26" s="54">
        <v>1</v>
      </c>
      <c r="B26" s="36" t="s">
        <v>25</v>
      </c>
      <c r="C26" s="55"/>
      <c r="D26" s="81"/>
      <c r="E26" s="55">
        <f>E27+E28+E44+E47</f>
        <v>0</v>
      </c>
      <c r="F26" s="55">
        <f t="shared" ref="F26:F52" si="1">E26</f>
        <v>0</v>
      </c>
      <c r="G26" s="75"/>
      <c r="H26" s="43"/>
    </row>
    <row r="27" s="12" customFormat="1" ht="25" customHeight="1" spans="1:8">
      <c r="A27" s="51" t="s">
        <v>26</v>
      </c>
      <c r="B27" s="82" t="s">
        <v>27</v>
      </c>
      <c r="C27" s="55"/>
      <c r="D27" s="81"/>
      <c r="E27" s="55">
        <v>0</v>
      </c>
      <c r="F27" s="55">
        <f t="shared" si="1"/>
        <v>0</v>
      </c>
      <c r="G27" s="75"/>
      <c r="H27" s="83"/>
    </row>
    <row r="28" s="12" customFormat="1" ht="25" customHeight="1" spans="1:8">
      <c r="A28" s="51" t="s">
        <v>29</v>
      </c>
      <c r="B28" s="82" t="s">
        <v>30</v>
      </c>
      <c r="C28" s="55"/>
      <c r="D28" s="81"/>
      <c r="E28" s="55">
        <f>E29+E32+E33+E34+E35+E40+E41+E42+E43</f>
        <v>0</v>
      </c>
      <c r="F28" s="55">
        <f t="shared" si="1"/>
        <v>0</v>
      </c>
      <c r="G28" s="79"/>
      <c r="H28" s="84"/>
    </row>
    <row r="29" s="12" customFormat="1" ht="25" customHeight="1" spans="1:8">
      <c r="A29" s="50" t="s">
        <v>32</v>
      </c>
      <c r="B29" s="36" t="s">
        <v>33</v>
      </c>
      <c r="C29" s="85"/>
      <c r="D29" s="86"/>
      <c r="E29" s="55">
        <f>E30+E31</f>
        <v>0</v>
      </c>
      <c r="F29" s="55">
        <f t="shared" si="1"/>
        <v>0</v>
      </c>
      <c r="G29" s="79"/>
      <c r="H29" s="87"/>
    </row>
    <row r="30" s="12" customFormat="1" ht="25" customHeight="1" spans="1:8">
      <c r="A30" s="51" t="s">
        <v>35</v>
      </c>
      <c r="B30" s="36" t="s">
        <v>36</v>
      </c>
      <c r="C30" s="88"/>
      <c r="D30" s="89"/>
      <c r="E30" s="44"/>
      <c r="F30" s="55">
        <f t="shared" si="1"/>
        <v>0</v>
      </c>
      <c r="G30" s="75"/>
      <c r="H30" s="90"/>
    </row>
    <row r="31" s="12" customFormat="1" ht="25" customHeight="1" spans="1:8">
      <c r="A31" s="51" t="s">
        <v>38</v>
      </c>
      <c r="B31" s="36" t="s">
        <v>39</v>
      </c>
      <c r="C31" s="88"/>
      <c r="D31" s="89"/>
      <c r="E31" s="55"/>
      <c r="F31" s="55">
        <f t="shared" si="1"/>
        <v>0</v>
      </c>
      <c r="G31" s="79"/>
      <c r="H31" s="84"/>
    </row>
    <row r="32" s="12" customFormat="1" ht="25" customHeight="1" spans="1:8">
      <c r="A32" s="51" t="s">
        <v>41</v>
      </c>
      <c r="B32" s="36" t="s">
        <v>42</v>
      </c>
      <c r="C32" s="88"/>
      <c r="D32" s="89"/>
      <c r="E32" s="55"/>
      <c r="F32" s="55">
        <f t="shared" si="1"/>
        <v>0</v>
      </c>
      <c r="G32" s="79"/>
      <c r="H32" s="84"/>
    </row>
    <row r="33" s="12" customFormat="1" ht="25" customHeight="1" spans="1:8">
      <c r="A33" s="51" t="s">
        <v>44</v>
      </c>
      <c r="B33" s="36" t="s">
        <v>45</v>
      </c>
      <c r="C33" s="88"/>
      <c r="D33" s="89"/>
      <c r="E33" s="55"/>
      <c r="F33" s="55">
        <f t="shared" si="1"/>
        <v>0</v>
      </c>
      <c r="G33" s="79"/>
      <c r="H33" s="84"/>
    </row>
    <row r="34" s="12" customFormat="1" ht="25" customHeight="1" spans="1:8">
      <c r="A34" s="51" t="s">
        <v>46</v>
      </c>
      <c r="B34" s="36" t="s">
        <v>47</v>
      </c>
      <c r="C34" s="88"/>
      <c r="D34" s="89"/>
      <c r="E34" s="55"/>
      <c r="F34" s="55">
        <f t="shared" si="1"/>
        <v>0</v>
      </c>
      <c r="G34" s="79"/>
      <c r="H34" s="84"/>
    </row>
    <row r="35" s="12" customFormat="1" ht="25" customHeight="1" spans="1:8">
      <c r="A35" s="51" t="s">
        <v>49</v>
      </c>
      <c r="B35" s="36" t="s">
        <v>50</v>
      </c>
      <c r="C35" s="88"/>
      <c r="D35" s="89"/>
      <c r="E35" s="55">
        <f>E36+E37+E38+E39</f>
        <v>0</v>
      </c>
      <c r="F35" s="55">
        <f t="shared" si="1"/>
        <v>0</v>
      </c>
      <c r="G35" s="79"/>
      <c r="H35" s="84"/>
    </row>
    <row r="36" s="12" customFormat="1" ht="25" customHeight="1" spans="1:8">
      <c r="A36" s="51" t="s">
        <v>51</v>
      </c>
      <c r="B36" s="36" t="s">
        <v>52</v>
      </c>
      <c r="C36" s="88"/>
      <c r="D36" s="89"/>
      <c r="E36" s="55"/>
      <c r="F36" s="55">
        <f t="shared" si="1"/>
        <v>0</v>
      </c>
      <c r="G36" s="79"/>
      <c r="H36" s="84"/>
    </row>
    <row r="37" s="12" customFormat="1" ht="25" customHeight="1" spans="1:8">
      <c r="A37" s="51" t="s">
        <v>53</v>
      </c>
      <c r="B37" s="36" t="s">
        <v>54</v>
      </c>
      <c r="C37" s="88"/>
      <c r="D37" s="89"/>
      <c r="E37" s="55"/>
      <c r="F37" s="55">
        <f t="shared" si="1"/>
        <v>0</v>
      </c>
      <c r="G37" s="79"/>
      <c r="H37" s="84"/>
    </row>
    <row r="38" s="12" customFormat="1" ht="25" customHeight="1" spans="1:8">
      <c r="A38" s="51" t="s">
        <v>56</v>
      </c>
      <c r="B38" s="36" t="s">
        <v>57</v>
      </c>
      <c r="C38" s="88"/>
      <c r="D38" s="89"/>
      <c r="E38" s="55"/>
      <c r="F38" s="55">
        <f t="shared" si="1"/>
        <v>0</v>
      </c>
      <c r="G38" s="79"/>
      <c r="H38" s="84"/>
    </row>
    <row r="39" s="12" customFormat="1" ht="25" customHeight="1" spans="1:8">
      <c r="A39" s="51" t="s">
        <v>59</v>
      </c>
      <c r="B39" s="36" t="s">
        <v>60</v>
      </c>
      <c r="C39" s="88"/>
      <c r="D39" s="89"/>
      <c r="E39" s="55"/>
      <c r="F39" s="55">
        <f t="shared" si="1"/>
        <v>0</v>
      </c>
      <c r="G39" s="79"/>
      <c r="H39" s="84"/>
    </row>
    <row r="40" s="12" customFormat="1" ht="25" customHeight="1" spans="1:8">
      <c r="A40" s="51" t="s">
        <v>62</v>
      </c>
      <c r="B40" s="36" t="s">
        <v>63</v>
      </c>
      <c r="C40" s="88"/>
      <c r="D40" s="89"/>
      <c r="E40" s="55"/>
      <c r="F40" s="55">
        <f t="shared" si="1"/>
        <v>0</v>
      </c>
      <c r="G40" s="79"/>
      <c r="H40" s="84"/>
    </row>
    <row r="41" s="12" customFormat="1" ht="25" customHeight="1" spans="1:8">
      <c r="A41" s="51" t="s">
        <v>64</v>
      </c>
      <c r="B41" s="36" t="s">
        <v>65</v>
      </c>
      <c r="C41" s="88"/>
      <c r="D41" s="89"/>
      <c r="E41" s="55"/>
      <c r="F41" s="55">
        <f t="shared" si="1"/>
        <v>0</v>
      </c>
      <c r="G41" s="79"/>
      <c r="H41" s="84"/>
    </row>
    <row r="42" s="12" customFormat="1" ht="25" customHeight="1" spans="1:8">
      <c r="A42" s="51" t="s">
        <v>66</v>
      </c>
      <c r="B42" s="36" t="s">
        <v>67</v>
      </c>
      <c r="C42" s="88"/>
      <c r="D42" s="89"/>
      <c r="E42" s="55"/>
      <c r="F42" s="55">
        <f t="shared" si="1"/>
        <v>0</v>
      </c>
      <c r="G42" s="79"/>
      <c r="H42" s="84"/>
    </row>
    <row r="43" s="12" customFormat="1" ht="25" customHeight="1" spans="1:8">
      <c r="A43" s="51" t="s">
        <v>32</v>
      </c>
      <c r="B43" s="36" t="s">
        <v>69</v>
      </c>
      <c r="C43" s="88"/>
      <c r="D43" s="89"/>
      <c r="E43" s="55"/>
      <c r="F43" s="55">
        <f t="shared" si="1"/>
        <v>0</v>
      </c>
      <c r="G43" s="79"/>
      <c r="H43" s="84"/>
    </row>
    <row r="44" s="12" customFormat="1" ht="25" customHeight="1" spans="1:8">
      <c r="A44" s="46" t="s">
        <v>71</v>
      </c>
      <c r="B44" s="31" t="s">
        <v>72</v>
      </c>
      <c r="C44" s="88"/>
      <c r="D44" s="89"/>
      <c r="E44" s="44">
        <f>E45+E46</f>
        <v>0</v>
      </c>
      <c r="F44" s="44">
        <f t="shared" si="1"/>
        <v>0</v>
      </c>
      <c r="G44" s="79"/>
      <c r="H44" s="84"/>
    </row>
    <row r="45" s="12" customFormat="1" ht="25" customHeight="1" spans="1:8">
      <c r="A45" s="51" t="s">
        <v>66</v>
      </c>
      <c r="B45" s="36" t="s">
        <v>73</v>
      </c>
      <c r="C45" s="88"/>
      <c r="D45" s="89"/>
      <c r="E45" s="55"/>
      <c r="F45" s="55">
        <f t="shared" si="1"/>
        <v>0</v>
      </c>
      <c r="G45" s="79"/>
      <c r="H45" s="84"/>
    </row>
    <row r="46" s="12" customFormat="1" ht="25" customHeight="1" spans="1:8">
      <c r="A46" s="51" t="s">
        <v>32</v>
      </c>
      <c r="B46" s="36" t="s">
        <v>74</v>
      </c>
      <c r="C46" s="88"/>
      <c r="D46" s="89"/>
      <c r="E46" s="55"/>
      <c r="F46" s="55">
        <f t="shared" si="1"/>
        <v>0</v>
      </c>
      <c r="G46" s="79"/>
      <c r="H46" s="84"/>
    </row>
    <row r="47" s="12" customFormat="1" ht="25" customHeight="1" spans="1:8">
      <c r="A47" s="46" t="s">
        <v>76</v>
      </c>
      <c r="B47" s="31" t="s">
        <v>77</v>
      </c>
      <c r="C47" s="88"/>
      <c r="D47" s="89"/>
      <c r="E47" s="44">
        <f>E48+E49</f>
        <v>0</v>
      </c>
      <c r="F47" s="44">
        <f t="shared" si="1"/>
        <v>0</v>
      </c>
      <c r="G47" s="79"/>
      <c r="H47" s="84"/>
    </row>
    <row r="48" s="12" customFormat="1" ht="25" customHeight="1" spans="1:8">
      <c r="A48" s="51">
        <v>1</v>
      </c>
      <c r="B48" s="36" t="s">
        <v>78</v>
      </c>
      <c r="C48" s="88"/>
      <c r="D48" s="89"/>
      <c r="E48" s="55"/>
      <c r="F48" s="55">
        <f t="shared" si="1"/>
        <v>0</v>
      </c>
      <c r="G48" s="79"/>
      <c r="H48" s="84"/>
    </row>
    <row r="49" s="12" customFormat="1" ht="25" customHeight="1" spans="1:8">
      <c r="A49" s="51" t="s">
        <v>80</v>
      </c>
      <c r="B49" s="36" t="s">
        <v>81</v>
      </c>
      <c r="C49" s="88"/>
      <c r="D49" s="89"/>
      <c r="E49" s="55"/>
      <c r="F49" s="55">
        <f t="shared" si="1"/>
        <v>0</v>
      </c>
      <c r="G49" s="79"/>
      <c r="H49" s="84"/>
    </row>
    <row r="50" s="12" customFormat="1" customHeight="1" spans="2:8">
      <c r="B50" s="62"/>
      <c r="C50" s="63"/>
      <c r="D50" s="63"/>
      <c r="E50" s="63"/>
      <c r="F50" s="64"/>
      <c r="G50" s="63"/>
      <c r="H50" s="65"/>
    </row>
    <row r="51" s="12" customFormat="1" customHeight="1" spans="2:8">
      <c r="B51" s="62"/>
      <c r="C51" s="63"/>
      <c r="D51" s="63"/>
      <c r="E51" s="63"/>
      <c r="F51" s="64"/>
      <c r="G51" s="63"/>
      <c r="H51" s="65"/>
    </row>
    <row r="52" s="12" customFormat="1" customHeight="1" spans="2:8">
      <c r="B52" s="62"/>
      <c r="C52" s="63"/>
      <c r="D52" s="63"/>
      <c r="E52" s="63"/>
      <c r="F52" s="64"/>
      <c r="G52" s="63"/>
      <c r="H52" s="65"/>
    </row>
    <row r="53" s="12" customFormat="1" customHeight="1" spans="2:8">
      <c r="B53" s="62"/>
      <c r="C53" s="63"/>
      <c r="D53" s="63"/>
      <c r="E53" s="63"/>
      <c r="F53" s="64"/>
      <c r="G53" s="63"/>
      <c r="H53" s="65"/>
    </row>
  </sheetData>
  <mergeCells count="7">
    <mergeCell ref="A1:H1"/>
    <mergeCell ref="A2:H2"/>
    <mergeCell ref="C3:F3"/>
    <mergeCell ref="A3:A4"/>
    <mergeCell ref="B3:B4"/>
    <mergeCell ref="G3:G4"/>
    <mergeCell ref="H3:H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3"/>
  <sheetViews>
    <sheetView topLeftCell="H40" workbookViewId="0">
      <selection activeCell="P53" sqref="P53"/>
    </sheetView>
  </sheetViews>
  <sheetFormatPr defaultColWidth="9" defaultRowHeight="18.75" customHeight="1"/>
  <cols>
    <col min="1" max="1" width="6.9" style="14" customWidth="1"/>
    <col min="2" max="2" width="27.1" style="15" customWidth="1"/>
    <col min="3" max="3" width="7.25" style="16" customWidth="1"/>
    <col min="4" max="4" width="9.5" style="16" customWidth="1"/>
    <col min="5" max="5" width="9.2" style="16" customWidth="1"/>
    <col min="6" max="6" width="9.2" style="17" customWidth="1"/>
    <col min="7" max="8" width="9.5" style="18" customWidth="1"/>
    <col min="9" max="10" width="9.2" style="18" customWidth="1"/>
    <col min="11" max="11" width="9.5" style="18" customWidth="1"/>
    <col min="12" max="12" width="8.5" style="18" customWidth="1"/>
    <col min="13" max="13" width="15.7" style="16" customWidth="1"/>
    <col min="14" max="14" width="9" style="12" customWidth="1"/>
    <col min="15" max="16383" width="9" style="12"/>
  </cols>
  <sheetData>
    <row r="1" s="12" customFormat="1" ht="28.5" customHeight="1" spans="1:13">
      <c r="A1" s="19" t="s">
        <v>173</v>
      </c>
      <c r="B1" s="20"/>
      <c r="C1" s="19"/>
      <c r="D1" s="19"/>
      <c r="E1" s="19"/>
      <c r="F1" s="21"/>
      <c r="G1" s="19"/>
      <c r="H1" s="19"/>
      <c r="I1" s="19"/>
      <c r="J1" s="19"/>
      <c r="K1" s="19"/>
      <c r="L1" s="19"/>
      <c r="M1" s="19"/>
    </row>
    <row r="2" s="12" customFormat="1" ht="24.75" customHeight="1" spans="1:13">
      <c r="A2" s="22" t="s">
        <v>191</v>
      </c>
      <c r="B2" s="22"/>
      <c r="C2" s="23"/>
      <c r="D2" s="23"/>
      <c r="E2" s="23"/>
      <c r="F2" s="24"/>
      <c r="G2" s="23"/>
      <c r="H2" s="23"/>
      <c r="I2" s="23"/>
      <c r="J2" s="23"/>
      <c r="K2" s="23"/>
      <c r="L2" s="23"/>
      <c r="M2" s="23"/>
    </row>
    <row r="3" s="12" customFormat="1" ht="20" customHeight="1" spans="1:13">
      <c r="A3" s="25" t="s">
        <v>2</v>
      </c>
      <c r="B3" s="26" t="s">
        <v>3</v>
      </c>
      <c r="C3" s="27" t="s">
        <v>111</v>
      </c>
      <c r="D3" s="28" t="s">
        <v>112</v>
      </c>
      <c r="E3" s="28"/>
      <c r="F3" s="28"/>
      <c r="G3" s="28"/>
      <c r="H3" s="28" t="s">
        <v>113</v>
      </c>
      <c r="I3" s="28"/>
      <c r="J3" s="28"/>
      <c r="K3" s="28"/>
      <c r="L3" s="28" t="s">
        <v>114</v>
      </c>
      <c r="M3" s="57" t="s">
        <v>6</v>
      </c>
    </row>
    <row r="4" s="12" customFormat="1" ht="32" customHeight="1" spans="1:13">
      <c r="A4" s="25"/>
      <c r="B4" s="26"/>
      <c r="C4" s="27"/>
      <c r="D4" s="27" t="s">
        <v>115</v>
      </c>
      <c r="E4" s="27" t="s">
        <v>8</v>
      </c>
      <c r="F4" s="29" t="s">
        <v>9</v>
      </c>
      <c r="G4" s="28" t="s">
        <v>10</v>
      </c>
      <c r="H4" s="27" t="s">
        <v>115</v>
      </c>
      <c r="I4" s="27" t="s">
        <v>8</v>
      </c>
      <c r="J4" s="29" t="s">
        <v>9</v>
      </c>
      <c r="K4" s="28" t="s">
        <v>10</v>
      </c>
      <c r="L4" s="28"/>
      <c r="M4" s="57"/>
    </row>
    <row r="5" s="13" customFormat="1" ht="25" customHeight="1" spans="1:14">
      <c r="A5" s="30" t="s">
        <v>11</v>
      </c>
      <c r="B5" s="31" t="s">
        <v>12</v>
      </c>
      <c r="C5" s="32" t="s">
        <v>116</v>
      </c>
      <c r="D5" s="33">
        <f>D6</f>
        <v>1593.18</v>
      </c>
      <c r="E5" s="33">
        <f>E6</f>
        <v>426.61</v>
      </c>
      <c r="F5" s="34"/>
      <c r="G5" s="34">
        <f t="shared" ref="G5:G25" si="0">D5+E5</f>
        <v>2019.79</v>
      </c>
      <c r="H5" s="34"/>
      <c r="I5" s="34"/>
      <c r="J5" s="34"/>
      <c r="K5" s="34">
        <f>总概算表!F5</f>
        <v>2965.72</v>
      </c>
      <c r="L5" s="34">
        <f t="shared" ref="L5:L27" si="1">K5-G5</f>
        <v>945.93</v>
      </c>
      <c r="M5" s="58"/>
      <c r="N5" s="59"/>
    </row>
    <row r="6" s="13" customFormat="1" ht="25" customHeight="1" spans="1:14">
      <c r="A6" s="35">
        <v>1</v>
      </c>
      <c r="B6" s="36" t="s">
        <v>14</v>
      </c>
      <c r="C6" s="37" t="s">
        <v>116</v>
      </c>
      <c r="D6" s="38">
        <v>1593.18</v>
      </c>
      <c r="E6" s="38">
        <f>SUM(E7:E22)</f>
        <v>426.61</v>
      </c>
      <c r="F6" s="34"/>
      <c r="G6" s="39">
        <f t="shared" si="0"/>
        <v>2019.79</v>
      </c>
      <c r="H6" s="39"/>
      <c r="I6" s="39"/>
      <c r="J6" s="39"/>
      <c r="K6" s="39">
        <f>总概算表!F6</f>
        <v>2006.74</v>
      </c>
      <c r="L6" s="39">
        <f t="shared" si="1"/>
        <v>-13.05</v>
      </c>
      <c r="M6" s="58"/>
      <c r="N6" s="59" t="str">
        <f>IF(L6&lt;0,B6&amp;"送审金额为"&amp;G6&amp;C6&amp;"，审定金额为"&amp;K6&amp;C6&amp;"，审减金额为"&amp;-L6&amp;"。主要原因是"&amp;M6&amp;"。",IF(L6&gt;0,B6&amp;"送审金额为"&amp;G6&amp;C6&amp;"，审定金额为"&amp;K6&amp;C6&amp;"，审增金额为"&amp;L6&amp;"万元。主要原因是"&amp;M6&amp;"。",""""))</f>
        <v>重庆市大足区中心城区2023年老旧小区主体改造工程（棠香片区）送审金额为2019.79万元，审定金额为2006.74万元，审减金额为13.05。主要原因是。</v>
      </c>
    </row>
    <row r="7" s="13" customFormat="1" ht="25" customHeight="1" spans="1:14">
      <c r="A7" s="35">
        <v>1.1</v>
      </c>
      <c r="B7" s="36" t="s">
        <v>192</v>
      </c>
      <c r="C7" s="37" t="s">
        <v>116</v>
      </c>
      <c r="D7" s="40">
        <v>4</v>
      </c>
      <c r="E7" s="38">
        <v>1.98</v>
      </c>
      <c r="F7" s="34"/>
      <c r="G7" s="39">
        <f t="shared" si="0"/>
        <v>5.98</v>
      </c>
      <c r="H7" s="39"/>
      <c r="I7" s="39"/>
      <c r="J7" s="39"/>
      <c r="K7" s="39" t="e">
        <f>总概算表!#REF!</f>
        <v>#REF!</v>
      </c>
      <c r="L7" s="39" t="e">
        <f t="shared" si="1"/>
        <v>#REF!</v>
      </c>
      <c r="M7" s="58"/>
      <c r="N7" s="59" t="e">
        <f t="shared" ref="N7:N22" si="2">IF(L7&lt;0,B7&amp;"送审金额为"&amp;G7&amp;C7&amp;"，审定金额为"&amp;K7&amp;C7&amp;"，审减金额为"&amp;-L7&amp;"。主要原因是"&amp;M7&amp;"。",IF(L7&gt;0,B7&amp;"送审金额为"&amp;G7&amp;C7&amp;"，审定金额为"&amp;K7&amp;C7&amp;"，审增金额为"&amp;L7&amp;"万元。主要原因是"&amp;M7&amp;"。",""""))</f>
        <v>#REF!</v>
      </c>
    </row>
    <row r="8" s="13" customFormat="1" ht="25" customHeight="1" spans="1:14">
      <c r="A8" s="35">
        <v>1.2</v>
      </c>
      <c r="B8" s="36" t="s">
        <v>193</v>
      </c>
      <c r="C8" s="37" t="s">
        <v>116</v>
      </c>
      <c r="D8" s="40">
        <v>26.35</v>
      </c>
      <c r="E8" s="38">
        <v>6.07</v>
      </c>
      <c r="F8" s="34"/>
      <c r="G8" s="39">
        <f t="shared" si="0"/>
        <v>32.42</v>
      </c>
      <c r="H8" s="39"/>
      <c r="I8" s="39"/>
      <c r="J8" s="39"/>
      <c r="K8" s="39">
        <f>总概算表!F7</f>
        <v>958.98</v>
      </c>
      <c r="L8" s="39">
        <f t="shared" si="1"/>
        <v>926.56</v>
      </c>
      <c r="M8" s="58"/>
      <c r="N8" s="59" t="str">
        <f t="shared" si="2"/>
        <v>测绘队家属院小区送审金额为32.42万元，审定金额为958.98万元，审增金额为926.56万元。主要原因是。</v>
      </c>
    </row>
    <row r="9" s="13" customFormat="1" ht="25" customHeight="1" spans="1:14">
      <c r="A9" s="35">
        <v>1.3</v>
      </c>
      <c r="B9" s="36" t="s">
        <v>194</v>
      </c>
      <c r="C9" s="37" t="s">
        <v>116</v>
      </c>
      <c r="D9" s="40">
        <v>23.55</v>
      </c>
      <c r="E9" s="38">
        <v>5.37</v>
      </c>
      <c r="F9" s="34"/>
      <c r="G9" s="39">
        <f t="shared" si="0"/>
        <v>28.92</v>
      </c>
      <c r="H9" s="39"/>
      <c r="I9" s="39"/>
      <c r="J9" s="39"/>
      <c r="K9" s="39">
        <f>总概算表!F8</f>
        <v>297.58</v>
      </c>
      <c r="L9" s="39">
        <f t="shared" si="1"/>
        <v>268.66</v>
      </c>
      <c r="M9" s="58"/>
      <c r="N9" s="59" t="str">
        <f t="shared" si="2"/>
        <v>设计院家属院送审金额为28.92万元，审定金额为297.58万元，审增金额为268.66万元。主要原因是。</v>
      </c>
    </row>
    <row r="10" s="13" customFormat="1" ht="25" customHeight="1" spans="1:14">
      <c r="A10" s="35">
        <v>1.4</v>
      </c>
      <c r="B10" s="36" t="s">
        <v>195</v>
      </c>
      <c r="C10" s="37" t="s">
        <v>116</v>
      </c>
      <c r="D10" s="40">
        <v>26.74</v>
      </c>
      <c r="E10" s="40">
        <v>22.11</v>
      </c>
      <c r="F10" s="34"/>
      <c r="G10" s="39">
        <f t="shared" si="0"/>
        <v>48.85</v>
      </c>
      <c r="H10" s="39"/>
      <c r="I10" s="39"/>
      <c r="J10" s="39"/>
      <c r="K10" s="39">
        <f>总概算表!F9</f>
        <v>0</v>
      </c>
      <c r="L10" s="39">
        <f t="shared" si="1"/>
        <v>-48.85</v>
      </c>
      <c r="M10" s="58"/>
      <c r="N10" s="59" t="str">
        <f t="shared" si="2"/>
        <v>学府小区送审金额为48.85万元，审定金额为0万元，审减金额为48.85。主要原因是。</v>
      </c>
    </row>
    <row r="11" s="13" customFormat="1" ht="25" customHeight="1" spans="1:14">
      <c r="A11" s="35">
        <v>1.5</v>
      </c>
      <c r="B11" s="36" t="s">
        <v>196</v>
      </c>
      <c r="C11" s="37" t="s">
        <v>116</v>
      </c>
      <c r="D11" s="40">
        <v>65.08</v>
      </c>
      <c r="E11" s="40">
        <v>17.95</v>
      </c>
      <c r="F11" s="34"/>
      <c r="G11" s="39">
        <f t="shared" si="0"/>
        <v>83.03</v>
      </c>
      <c r="H11" s="39"/>
      <c r="I11" s="39"/>
      <c r="J11" s="39"/>
      <c r="K11" s="39">
        <f>总概算表!F10</f>
        <v>217.02</v>
      </c>
      <c r="L11" s="39">
        <f t="shared" si="1"/>
        <v>133.99</v>
      </c>
      <c r="M11" s="58"/>
      <c r="N11" s="59" t="str">
        <f t="shared" si="2"/>
        <v>月池小区送审金额为83.03万元，审定金额为217.02万元，审增金额为133.99万元。主要原因是。</v>
      </c>
    </row>
    <row r="12" s="13" customFormat="1" ht="25" customHeight="1" spans="1:14">
      <c r="A12" s="35">
        <v>1.6</v>
      </c>
      <c r="B12" s="36" t="s">
        <v>197</v>
      </c>
      <c r="C12" s="37" t="s">
        <v>116</v>
      </c>
      <c r="D12" s="40">
        <v>130.48</v>
      </c>
      <c r="E12" s="38">
        <v>75.19</v>
      </c>
      <c r="F12" s="34"/>
      <c r="G12" s="39">
        <f t="shared" si="0"/>
        <v>205.67</v>
      </c>
      <c r="H12" s="39"/>
      <c r="I12" s="39"/>
      <c r="J12" s="39"/>
      <c r="K12" s="39">
        <f>总概算表!F11</f>
        <v>4.99</v>
      </c>
      <c r="L12" s="39">
        <f t="shared" si="1"/>
        <v>-200.68</v>
      </c>
      <c r="M12" s="58"/>
      <c r="N12" s="59" t="str">
        <f t="shared" si="2"/>
        <v>南津花园下区送审金额为205.67万元，审定金额为4.99万元，审减金额为200.68。主要原因是。</v>
      </c>
    </row>
    <row r="13" s="13" customFormat="1" ht="25" customHeight="1" spans="1:14">
      <c r="A13" s="35">
        <v>1.7</v>
      </c>
      <c r="B13" s="36" t="s">
        <v>198</v>
      </c>
      <c r="C13" s="37" t="s">
        <v>116</v>
      </c>
      <c r="D13" s="40">
        <v>24.63</v>
      </c>
      <c r="E13" s="38">
        <v>8.01</v>
      </c>
      <c r="F13" s="34"/>
      <c r="G13" s="39">
        <f t="shared" si="0"/>
        <v>32.64</v>
      </c>
      <c r="H13" s="39"/>
      <c r="I13" s="39"/>
      <c r="J13" s="39"/>
      <c r="K13" s="39">
        <f>总概算表!F12</f>
        <v>4.99</v>
      </c>
      <c r="L13" s="39">
        <f t="shared" si="1"/>
        <v>-27.65</v>
      </c>
      <c r="M13" s="58"/>
      <c r="N13" s="59" t="str">
        <f t="shared" si="2"/>
        <v>人和花园小区送审金额为32.64万元，审定金额为4.99万元，审减金额为27.65。主要原因是。</v>
      </c>
    </row>
    <row r="14" s="13" customFormat="1" ht="25" customHeight="1" spans="1:14">
      <c r="A14" s="35">
        <v>1.8</v>
      </c>
      <c r="B14" s="36" t="s">
        <v>199</v>
      </c>
      <c r="C14" s="37" t="s">
        <v>116</v>
      </c>
      <c r="D14" s="40">
        <v>49.53</v>
      </c>
      <c r="E14" s="38">
        <v>13.53</v>
      </c>
      <c r="F14" s="34"/>
      <c r="G14" s="39">
        <f t="shared" si="0"/>
        <v>63.06</v>
      </c>
      <c r="H14" s="39"/>
      <c r="I14" s="39"/>
      <c r="J14" s="39"/>
      <c r="K14" s="39">
        <f>总概算表!F13</f>
        <v>0</v>
      </c>
      <c r="L14" s="39">
        <f t="shared" si="1"/>
        <v>-63.06</v>
      </c>
      <c r="M14" s="58"/>
      <c r="N14" s="59" t="str">
        <f t="shared" si="2"/>
        <v>广电小区送审金额为63.06万元，审定金额为0万元，审减金额为63.06。主要原因是。</v>
      </c>
    </row>
    <row r="15" s="13" customFormat="1" ht="25" customHeight="1" spans="1:14">
      <c r="A15" s="35">
        <v>1.9</v>
      </c>
      <c r="B15" s="36" t="s">
        <v>200</v>
      </c>
      <c r="C15" s="37" t="s">
        <v>116</v>
      </c>
      <c r="D15" s="40">
        <v>67.45</v>
      </c>
      <c r="E15" s="40">
        <v>18.4</v>
      </c>
      <c r="F15" s="34"/>
      <c r="G15" s="39">
        <f t="shared" si="0"/>
        <v>85.85</v>
      </c>
      <c r="H15" s="39"/>
      <c r="I15" s="39"/>
      <c r="J15" s="39"/>
      <c r="K15" s="39">
        <f>总概算表!F14</f>
        <v>69.83</v>
      </c>
      <c r="L15" s="39">
        <f t="shared" si="1"/>
        <v>-16.02</v>
      </c>
      <c r="M15" s="58"/>
      <c r="N15" s="59" t="str">
        <f t="shared" si="2"/>
        <v>徐家大院小区送审金额为85.85万元，审定金额为69.83万元，审减金额为16.02。主要原因是。</v>
      </c>
    </row>
    <row r="16" s="13" customFormat="1" ht="25" customHeight="1" spans="1:14">
      <c r="A16" s="41">
        <v>1.1</v>
      </c>
      <c r="B16" s="36" t="s">
        <v>201</v>
      </c>
      <c r="C16" s="37" t="s">
        <v>116</v>
      </c>
      <c r="D16" s="40">
        <v>61.87</v>
      </c>
      <c r="E16" s="38">
        <v>17.21</v>
      </c>
      <c r="F16" s="34"/>
      <c r="G16" s="39">
        <f t="shared" si="0"/>
        <v>79.08</v>
      </c>
      <c r="H16" s="39"/>
      <c r="I16" s="39"/>
      <c r="J16" s="39"/>
      <c r="K16" s="39">
        <f>总概算表!F15</f>
        <v>5.24</v>
      </c>
      <c r="L16" s="39">
        <f t="shared" si="1"/>
        <v>-73.84</v>
      </c>
      <c r="M16" s="58"/>
      <c r="N16" s="59" t="str">
        <f t="shared" si="2"/>
        <v>马家大院小区送审金额为79.08万元，审定金额为5.24万元，审减金额为73.84。主要原因是。</v>
      </c>
    </row>
    <row r="17" s="13" customFormat="1" ht="25" customHeight="1" spans="1:14">
      <c r="A17" s="35">
        <v>1.11</v>
      </c>
      <c r="B17" s="36" t="s">
        <v>202</v>
      </c>
      <c r="C17" s="37" t="s">
        <v>116</v>
      </c>
      <c r="D17" s="40">
        <v>44.65</v>
      </c>
      <c r="E17" s="38">
        <v>42.88</v>
      </c>
      <c r="F17" s="34"/>
      <c r="G17" s="39">
        <f t="shared" si="0"/>
        <v>87.53</v>
      </c>
      <c r="H17" s="39"/>
      <c r="I17" s="39"/>
      <c r="J17" s="39"/>
      <c r="K17" s="39">
        <f>总概算表!F16</f>
        <v>13.43</v>
      </c>
      <c r="L17" s="39">
        <f t="shared" si="1"/>
        <v>-74.1</v>
      </c>
      <c r="M17" s="58"/>
      <c r="N17" s="59" t="str">
        <f t="shared" si="2"/>
        <v>公社家园小区送审金额为87.53万元，审定金额为13.43万元，审减金额为74.1。主要原因是。</v>
      </c>
    </row>
    <row r="18" s="13" customFormat="1" ht="25" customHeight="1" spans="1:14">
      <c r="A18" s="35">
        <v>1.12</v>
      </c>
      <c r="B18" s="36" t="s">
        <v>203</v>
      </c>
      <c r="C18" s="37" t="s">
        <v>116</v>
      </c>
      <c r="D18" s="40">
        <v>399.52</v>
      </c>
      <c r="E18" s="38">
        <v>90.96</v>
      </c>
      <c r="F18" s="34"/>
      <c r="G18" s="39">
        <f t="shared" si="0"/>
        <v>490.48</v>
      </c>
      <c r="H18" s="39"/>
      <c r="I18" s="39"/>
      <c r="J18" s="39"/>
      <c r="K18" s="39">
        <f>总概算表!F17</f>
        <v>45.02</v>
      </c>
      <c r="L18" s="39">
        <f t="shared" si="1"/>
        <v>-445.46</v>
      </c>
      <c r="M18" s="58"/>
      <c r="N18" s="59" t="str">
        <f t="shared" si="2"/>
        <v>万城大厦小区送审金额为490.48万元，审定金额为45.02万元，审减金额为445.46。主要原因是。</v>
      </c>
    </row>
    <row r="19" s="13" customFormat="1" ht="25" customHeight="1" spans="1:14">
      <c r="A19" s="35">
        <v>1.13</v>
      </c>
      <c r="B19" s="36" t="s">
        <v>204</v>
      </c>
      <c r="C19" s="37" t="s">
        <v>116</v>
      </c>
      <c r="D19" s="40">
        <v>353.44</v>
      </c>
      <c r="E19" s="40">
        <v>55.66</v>
      </c>
      <c r="F19" s="34"/>
      <c r="G19" s="39">
        <f t="shared" si="0"/>
        <v>409.1</v>
      </c>
      <c r="H19" s="39"/>
      <c r="I19" s="39"/>
      <c r="J19" s="39"/>
      <c r="K19" s="39">
        <f>总概算表!F18</f>
        <v>0</v>
      </c>
      <c r="L19" s="39">
        <f t="shared" si="1"/>
        <v>-409.1</v>
      </c>
      <c r="M19" s="58"/>
      <c r="N19" s="59" t="str">
        <f t="shared" si="2"/>
        <v>八角庙小区送审金额为409.1万元，审定金额为0万元，审减金额为409.1。主要原因是。</v>
      </c>
    </row>
    <row r="20" s="13" customFormat="1" ht="25" customHeight="1" spans="1:14">
      <c r="A20" s="35">
        <v>1.14</v>
      </c>
      <c r="B20" s="36" t="s">
        <v>205</v>
      </c>
      <c r="C20" s="37" t="s">
        <v>116</v>
      </c>
      <c r="D20" s="40">
        <v>24.81</v>
      </c>
      <c r="E20" s="38">
        <v>7.25</v>
      </c>
      <c r="F20" s="34"/>
      <c r="G20" s="39">
        <f t="shared" si="0"/>
        <v>32.06</v>
      </c>
      <c r="H20" s="39"/>
      <c r="I20" s="39"/>
      <c r="J20" s="39"/>
      <c r="K20" s="39">
        <f>总概算表!F19</f>
        <v>11.43</v>
      </c>
      <c r="L20" s="39">
        <f t="shared" si="1"/>
        <v>-20.63</v>
      </c>
      <c r="M20" s="58"/>
      <c r="N20" s="59" t="str">
        <f t="shared" si="2"/>
        <v>园艺小区送审金额为32.06万元，审定金额为11.43万元，审减金额为20.63。主要原因是。</v>
      </c>
    </row>
    <row r="21" s="13" customFormat="1" ht="25" customHeight="1" spans="1:14">
      <c r="A21" s="35">
        <v>1.15</v>
      </c>
      <c r="B21" s="36" t="s">
        <v>206</v>
      </c>
      <c r="C21" s="37" t="s">
        <v>116</v>
      </c>
      <c r="D21" s="40">
        <v>195.14</v>
      </c>
      <c r="E21" s="38">
        <v>20.09</v>
      </c>
      <c r="F21" s="34"/>
      <c r="G21" s="39">
        <f t="shared" si="0"/>
        <v>215.23</v>
      </c>
      <c r="H21" s="39"/>
      <c r="I21" s="39"/>
      <c r="J21" s="39"/>
      <c r="K21" s="39">
        <f>总概算表!F20</f>
        <v>11.43</v>
      </c>
      <c r="L21" s="39">
        <f t="shared" si="1"/>
        <v>-203.8</v>
      </c>
      <c r="M21" s="58"/>
      <c r="N21" s="59" t="str">
        <f t="shared" si="2"/>
        <v>南骊轩小区送审金额为215.23万元，审定金额为11.43万元，审减金额为203.8。主要原因是。</v>
      </c>
    </row>
    <row r="22" s="13" customFormat="1" ht="25" customHeight="1" spans="1:14">
      <c r="A22" s="35">
        <v>1.16</v>
      </c>
      <c r="B22" s="36" t="s">
        <v>207</v>
      </c>
      <c r="C22" s="37" t="s">
        <v>116</v>
      </c>
      <c r="D22" s="40">
        <v>95.95</v>
      </c>
      <c r="E22" s="38">
        <v>23.95</v>
      </c>
      <c r="F22" s="34"/>
      <c r="G22" s="39">
        <f t="shared" si="0"/>
        <v>119.9</v>
      </c>
      <c r="H22" s="39"/>
      <c r="I22" s="39"/>
      <c r="J22" s="39"/>
      <c r="K22" s="39">
        <f>总概算表!F21</f>
        <v>22.16</v>
      </c>
      <c r="L22" s="39">
        <f t="shared" si="1"/>
        <v>-97.74</v>
      </c>
      <c r="M22" s="58"/>
      <c r="N22" s="59" t="str">
        <f t="shared" si="2"/>
        <v>职教中心还建房小区送审金额为119.9万元，审定金额为22.16万元，审减金额为97.74。主要原因是。</v>
      </c>
    </row>
    <row r="23" s="13" customFormat="1" ht="25" customHeight="1" spans="1:14">
      <c r="A23" s="42" t="s">
        <v>16</v>
      </c>
      <c r="B23" s="31" t="s">
        <v>17</v>
      </c>
      <c r="C23" s="32" t="s">
        <v>116</v>
      </c>
      <c r="D23" s="43"/>
      <c r="E23" s="43"/>
      <c r="F23" s="44">
        <f>F24+F25+F41+F44</f>
        <v>184.73</v>
      </c>
      <c r="G23" s="45">
        <f t="shared" ref="G23:G48" si="3">F23</f>
        <v>184.73</v>
      </c>
      <c r="H23" s="34"/>
      <c r="I23" s="34"/>
      <c r="J23" s="45">
        <f>总概算表!F25</f>
        <v>5.63</v>
      </c>
      <c r="K23" s="34">
        <f>总概算表!F25</f>
        <v>5.63</v>
      </c>
      <c r="L23" s="34">
        <f t="shared" si="1"/>
        <v>-179.1</v>
      </c>
      <c r="M23" s="58"/>
      <c r="N23" s="59"/>
    </row>
    <row r="24" s="13" customFormat="1" ht="25" customHeight="1" spans="1:14">
      <c r="A24" s="46" t="s">
        <v>19</v>
      </c>
      <c r="B24" s="47" t="s">
        <v>20</v>
      </c>
      <c r="C24" s="32" t="s">
        <v>116</v>
      </c>
      <c r="D24" s="38"/>
      <c r="E24" s="48"/>
      <c r="F24" s="49">
        <v>0</v>
      </c>
      <c r="G24" s="33">
        <f t="shared" si="3"/>
        <v>0</v>
      </c>
      <c r="H24" s="34"/>
      <c r="I24" s="34"/>
      <c r="J24" s="45">
        <v>0</v>
      </c>
      <c r="K24" s="34">
        <f t="shared" ref="K24:K40" si="4">J24</f>
        <v>0</v>
      </c>
      <c r="L24" s="34">
        <f t="shared" si="1"/>
        <v>0</v>
      </c>
      <c r="M24" s="58"/>
      <c r="N24" s="59" t="str">
        <f t="shared" ref="N23:N29" si="5">IF(L24&lt;0,B24&amp;"送审金额为"&amp;G24&amp;C24&amp;"，审定金额为"&amp;K24&amp;C24&amp;"，审减金额为"&amp;-L24&amp;"。主要原因是"&amp;M24&amp;"。",IF(L24&gt;0,B24&amp;"送审金额为"&amp;G24&amp;C24&amp;"，审定金额为"&amp;K24&amp;C24&amp;"，审增金额为"&amp;L24&amp;"万元。主要原因是"&amp;M24&amp;"。",""""))</f>
        <v>"</v>
      </c>
    </row>
    <row r="25" s="12" customFormat="1" ht="25" customHeight="1" spans="1:14">
      <c r="A25" s="46" t="s">
        <v>22</v>
      </c>
      <c r="B25" s="47" t="s">
        <v>23</v>
      </c>
      <c r="C25" s="32" t="s">
        <v>116</v>
      </c>
      <c r="D25" s="38"/>
      <c r="E25" s="38"/>
      <c r="F25" s="49">
        <f>F26+F29+F30+F31+F32+F37+F38+F39+F40</f>
        <v>110.73</v>
      </c>
      <c r="G25" s="33">
        <f t="shared" si="3"/>
        <v>110.73</v>
      </c>
      <c r="H25" s="39"/>
      <c r="I25" s="39"/>
      <c r="J25" s="56">
        <f>总概算表!E29</f>
        <v>23.73</v>
      </c>
      <c r="K25" s="39">
        <f t="shared" si="4"/>
        <v>23.73</v>
      </c>
      <c r="L25" s="39">
        <f t="shared" ref="L25:L40" si="6">ROUND(K25-G25,2)</f>
        <v>-87</v>
      </c>
      <c r="M25" s="58"/>
      <c r="N25" s="59"/>
    </row>
    <row r="26" s="12" customFormat="1" ht="25" customHeight="1" spans="1:14">
      <c r="A26" s="50">
        <v>1</v>
      </c>
      <c r="B26" s="36" t="s">
        <v>117</v>
      </c>
      <c r="C26" s="37" t="s">
        <v>116</v>
      </c>
      <c r="D26" s="38"/>
      <c r="E26" s="38"/>
      <c r="F26" s="38">
        <f>F27+F28</f>
        <v>10.85</v>
      </c>
      <c r="G26" s="40">
        <f t="shared" si="3"/>
        <v>10.85</v>
      </c>
      <c r="H26" s="39"/>
      <c r="I26" s="39"/>
      <c r="J26" s="56">
        <f>总概算表!E30</f>
        <v>14.83</v>
      </c>
      <c r="K26" s="39">
        <f t="shared" si="4"/>
        <v>14.83</v>
      </c>
      <c r="L26" s="39">
        <f t="shared" si="6"/>
        <v>3.98</v>
      </c>
      <c r="M26" s="60"/>
      <c r="N26" s="59" t="str">
        <f t="shared" si="5"/>
        <v>前期工作咨询费送审金额为10.85万元，审定金额为14.83万元，审增金额为3.98万元。主要原因是。</v>
      </c>
    </row>
    <row r="27" s="12" customFormat="1" ht="25" customHeight="1" spans="1:14">
      <c r="A27" s="51" t="s">
        <v>26</v>
      </c>
      <c r="B27" s="36" t="s">
        <v>118</v>
      </c>
      <c r="C27" s="37" t="s">
        <v>116</v>
      </c>
      <c r="D27" s="38"/>
      <c r="E27" s="38"/>
      <c r="F27" s="38">
        <v>7.84</v>
      </c>
      <c r="G27" s="40">
        <f t="shared" si="3"/>
        <v>7.84</v>
      </c>
      <c r="H27" s="39"/>
      <c r="I27" s="39"/>
      <c r="J27" s="56">
        <f>总概算表!E31</f>
        <v>8.9</v>
      </c>
      <c r="K27" s="39">
        <f t="shared" si="4"/>
        <v>8.9</v>
      </c>
      <c r="L27" s="39">
        <f t="shared" si="6"/>
        <v>1.06</v>
      </c>
      <c r="M27" s="60"/>
      <c r="N27" s="59" t="str">
        <f t="shared" si="5"/>
        <v>编制可行性研究报告送审金额为7.84万元，审定金额为8.9万元，审增金额为1.06万元。主要原因是。</v>
      </c>
    </row>
    <row r="28" s="12" customFormat="1" ht="25" customHeight="1" spans="1:14">
      <c r="A28" s="51" t="s">
        <v>29</v>
      </c>
      <c r="B28" s="36" t="s">
        <v>171</v>
      </c>
      <c r="C28" s="37" t="s">
        <v>116</v>
      </c>
      <c r="D28" s="38"/>
      <c r="E28" s="38"/>
      <c r="F28" s="38">
        <v>3.01</v>
      </c>
      <c r="G28" s="40">
        <f t="shared" si="3"/>
        <v>3.01</v>
      </c>
      <c r="H28" s="39"/>
      <c r="I28" s="39"/>
      <c r="J28" s="56">
        <f>总概算表!E32</f>
        <v>163.17</v>
      </c>
      <c r="K28" s="39">
        <f t="shared" si="4"/>
        <v>163.17</v>
      </c>
      <c r="L28" s="39">
        <f t="shared" si="6"/>
        <v>160.16</v>
      </c>
      <c r="M28" s="60"/>
      <c r="N28" s="59" t="str">
        <f t="shared" si="5"/>
        <v>可行性研究报告评估费送审金额为3.01万元，审定金额为163.17万元，审增金额为160.16万元。主要原因是。</v>
      </c>
    </row>
    <row r="29" s="12" customFormat="1" ht="25" customHeight="1" spans="1:14">
      <c r="A29" s="51" t="s">
        <v>32</v>
      </c>
      <c r="B29" s="36" t="s">
        <v>120</v>
      </c>
      <c r="C29" s="37" t="s">
        <v>116</v>
      </c>
      <c r="D29" s="38"/>
      <c r="E29" s="38"/>
      <c r="F29" s="38">
        <v>32.37</v>
      </c>
      <c r="G29" s="40">
        <f t="shared" si="3"/>
        <v>32.37</v>
      </c>
      <c r="H29" s="39"/>
      <c r="I29" s="39"/>
      <c r="J29" s="56">
        <f>总概算表!E33</f>
        <v>163.17</v>
      </c>
      <c r="K29" s="39">
        <f t="shared" si="4"/>
        <v>163.17</v>
      </c>
      <c r="L29" s="39">
        <f t="shared" si="6"/>
        <v>130.8</v>
      </c>
      <c r="M29" s="60"/>
      <c r="N29" s="59" t="str">
        <f t="shared" si="5"/>
        <v>工程设计费送审金额为32.37万元，审定金额为163.17万元，审增金额为130.8万元。主要原因是。</v>
      </c>
    </row>
    <row r="30" s="12" customFormat="1" ht="25" customHeight="1" spans="1:14">
      <c r="A30" s="51" t="s">
        <v>35</v>
      </c>
      <c r="B30" s="36" t="s">
        <v>172</v>
      </c>
      <c r="C30" s="37" t="s">
        <v>116</v>
      </c>
      <c r="D30" s="38"/>
      <c r="E30" s="38"/>
      <c r="F30" s="38">
        <v>4.07</v>
      </c>
      <c r="G30" s="40">
        <f t="shared" si="3"/>
        <v>4.07</v>
      </c>
      <c r="H30" s="39"/>
      <c r="I30" s="39"/>
      <c r="J30" s="56">
        <f>总概算表!E34</f>
        <v>0</v>
      </c>
      <c r="K30" s="39">
        <f t="shared" si="4"/>
        <v>0</v>
      </c>
      <c r="L30" s="39">
        <f t="shared" si="6"/>
        <v>-4.07</v>
      </c>
      <c r="M30" s="60"/>
      <c r="N30" s="59"/>
    </row>
    <row r="31" s="12" customFormat="1" ht="25" customHeight="1" spans="1:14">
      <c r="A31" s="51" t="s">
        <v>38</v>
      </c>
      <c r="B31" s="36" t="s">
        <v>122</v>
      </c>
      <c r="C31" s="37" t="s">
        <v>116</v>
      </c>
      <c r="D31" s="38"/>
      <c r="E31" s="38"/>
      <c r="F31" s="38">
        <v>4.55</v>
      </c>
      <c r="G31" s="40">
        <f t="shared" si="3"/>
        <v>4.55</v>
      </c>
      <c r="H31" s="39"/>
      <c r="I31" s="39"/>
      <c r="J31" s="56" t="e">
        <f>总概算表!#REF!</f>
        <v>#REF!</v>
      </c>
      <c r="K31" s="39" t="e">
        <f t="shared" si="4"/>
        <v>#REF!</v>
      </c>
      <c r="L31" s="39" t="e">
        <f t="shared" si="6"/>
        <v>#REF!</v>
      </c>
      <c r="M31" s="60"/>
      <c r="N31" s="59" t="e">
        <f t="shared" ref="N31:N37" si="7">IF(L31&lt;0,B31&amp;"送审金额为"&amp;G31&amp;C31&amp;"万元，审定金额为"&amp;K31&amp;C31&amp;"万元，审减金额为"&amp;-L31&amp;"万元。主要原因是"&amp;M31&amp;"。",IF(L31&gt;0,B31&amp;"送审金额为"&amp;G31&amp;C31&amp;"万元，审定金额为"&amp;K31&amp;C31&amp;"万元，审增金额为"&amp;L31&amp;"万元。主要原因是"&amp;M31&amp;"。",""""))</f>
        <v>#REF!</v>
      </c>
    </row>
    <row r="32" s="12" customFormat="1" ht="25" customHeight="1" spans="1:14">
      <c r="A32" s="51" t="s">
        <v>41</v>
      </c>
      <c r="B32" s="36" t="s">
        <v>124</v>
      </c>
      <c r="C32" s="37" t="s">
        <v>116</v>
      </c>
      <c r="D32" s="38"/>
      <c r="E32" s="38"/>
      <c r="F32" s="38">
        <f>F33+F34+F35+F36</f>
        <v>23.04</v>
      </c>
      <c r="G32" s="40">
        <f t="shared" si="3"/>
        <v>23.04</v>
      </c>
      <c r="H32" s="39"/>
      <c r="I32" s="39"/>
      <c r="J32" s="56" t="e">
        <f>总概算表!#REF!</f>
        <v>#REF!</v>
      </c>
      <c r="K32" s="39" t="e">
        <f t="shared" si="4"/>
        <v>#REF!</v>
      </c>
      <c r="L32" s="39" t="e">
        <f t="shared" si="6"/>
        <v>#REF!</v>
      </c>
      <c r="M32" s="60"/>
      <c r="N32" s="59" t="e">
        <f t="shared" si="7"/>
        <v>#REF!</v>
      </c>
    </row>
    <row r="33" s="12" customFormat="1" ht="25" customHeight="1" spans="1:14">
      <c r="A33" s="51" t="s">
        <v>44</v>
      </c>
      <c r="B33" s="36" t="s">
        <v>125</v>
      </c>
      <c r="C33" s="37" t="s">
        <v>116</v>
      </c>
      <c r="D33" s="38"/>
      <c r="E33" s="38"/>
      <c r="F33" s="38">
        <v>2.61</v>
      </c>
      <c r="G33" s="40">
        <f t="shared" si="3"/>
        <v>2.61</v>
      </c>
      <c r="H33" s="39"/>
      <c r="I33" s="39"/>
      <c r="J33" s="56" t="e">
        <f>总概算表!#REF!</f>
        <v>#REF!</v>
      </c>
      <c r="K33" s="39" t="e">
        <f t="shared" si="4"/>
        <v>#REF!</v>
      </c>
      <c r="L33" s="39" t="e">
        <f t="shared" si="6"/>
        <v>#REF!</v>
      </c>
      <c r="M33" s="60"/>
      <c r="N33" s="59" t="e">
        <f t="shared" si="7"/>
        <v>#REF!</v>
      </c>
    </row>
    <row r="34" s="12" customFormat="1" ht="25" customHeight="1" spans="1:14">
      <c r="A34" s="51" t="s">
        <v>46</v>
      </c>
      <c r="B34" s="36" t="s">
        <v>126</v>
      </c>
      <c r="C34" s="37" t="s">
        <v>116</v>
      </c>
      <c r="D34" s="38"/>
      <c r="E34" s="38"/>
      <c r="F34" s="38">
        <v>5.22</v>
      </c>
      <c r="G34" s="40">
        <f t="shared" si="3"/>
        <v>5.22</v>
      </c>
      <c r="H34" s="39"/>
      <c r="I34" s="39"/>
      <c r="J34" s="56" t="e">
        <f>总概算表!#REF!</f>
        <v>#REF!</v>
      </c>
      <c r="K34" s="39" t="e">
        <f t="shared" si="4"/>
        <v>#REF!</v>
      </c>
      <c r="L34" s="39" t="e">
        <f t="shared" si="6"/>
        <v>#REF!</v>
      </c>
      <c r="M34" s="60"/>
      <c r="N34" s="59" t="e">
        <f t="shared" si="7"/>
        <v>#REF!</v>
      </c>
    </row>
    <row r="35" s="12" customFormat="1" ht="25" customHeight="1" spans="1:14">
      <c r="A35" s="51" t="s">
        <v>49</v>
      </c>
      <c r="B35" s="36" t="s">
        <v>127</v>
      </c>
      <c r="C35" s="37" t="s">
        <v>116</v>
      </c>
      <c r="D35" s="38"/>
      <c r="E35" s="38"/>
      <c r="F35" s="38">
        <v>5.22</v>
      </c>
      <c r="G35" s="40">
        <f t="shared" si="3"/>
        <v>5.22</v>
      </c>
      <c r="H35" s="39"/>
      <c r="I35" s="39"/>
      <c r="J35" s="56" t="e">
        <f>总概算表!#REF!</f>
        <v>#REF!</v>
      </c>
      <c r="K35" s="39" t="e">
        <f t="shared" si="4"/>
        <v>#REF!</v>
      </c>
      <c r="L35" s="39" t="e">
        <f t="shared" si="6"/>
        <v>#REF!</v>
      </c>
      <c r="M35" s="60"/>
      <c r="N35" s="59" t="e">
        <f t="shared" si="7"/>
        <v>#REF!</v>
      </c>
    </row>
    <row r="36" s="12" customFormat="1" ht="25" customHeight="1" spans="1:14">
      <c r="A36" s="51" t="s">
        <v>51</v>
      </c>
      <c r="B36" s="36" t="s">
        <v>52</v>
      </c>
      <c r="C36" s="37" t="s">
        <v>116</v>
      </c>
      <c r="D36" s="52"/>
      <c r="E36" s="52"/>
      <c r="F36" s="52">
        <v>9.99</v>
      </c>
      <c r="G36" s="40">
        <f t="shared" si="3"/>
        <v>9.99</v>
      </c>
      <c r="H36" s="39"/>
      <c r="I36" s="39"/>
      <c r="J36" s="56" t="e">
        <f>总概算表!#REF!</f>
        <v>#REF!</v>
      </c>
      <c r="K36" s="39" t="e">
        <f t="shared" si="4"/>
        <v>#REF!</v>
      </c>
      <c r="L36" s="39" t="e">
        <f t="shared" si="6"/>
        <v>#REF!</v>
      </c>
      <c r="M36" s="60"/>
      <c r="N36" s="59" t="e">
        <f t="shared" si="7"/>
        <v>#REF!</v>
      </c>
    </row>
    <row r="37" s="12" customFormat="1" ht="25" customHeight="1" spans="1:14">
      <c r="A37" s="51" t="s">
        <v>53</v>
      </c>
      <c r="B37" s="36" t="s">
        <v>128</v>
      </c>
      <c r="C37" s="37" t="s">
        <v>116</v>
      </c>
      <c r="D37" s="52"/>
      <c r="E37" s="52"/>
      <c r="F37" s="52">
        <v>4.02</v>
      </c>
      <c r="G37" s="40">
        <f t="shared" si="3"/>
        <v>4.02</v>
      </c>
      <c r="H37" s="39"/>
      <c r="I37" s="39"/>
      <c r="J37" s="56" t="e">
        <f>总概算表!#REF!</f>
        <v>#REF!</v>
      </c>
      <c r="K37" s="39" t="e">
        <f t="shared" si="4"/>
        <v>#REF!</v>
      </c>
      <c r="L37" s="39" t="e">
        <f t="shared" si="6"/>
        <v>#REF!</v>
      </c>
      <c r="M37" s="60"/>
      <c r="N37" s="59" t="e">
        <f t="shared" si="7"/>
        <v>#REF!</v>
      </c>
    </row>
    <row r="38" s="12" customFormat="1" ht="25" customHeight="1" spans="1:14">
      <c r="A38" s="51" t="s">
        <v>56</v>
      </c>
      <c r="B38" s="36" t="s">
        <v>129</v>
      </c>
      <c r="C38" s="37" t="s">
        <v>116</v>
      </c>
      <c r="D38" s="38"/>
      <c r="E38" s="38"/>
      <c r="F38" s="38">
        <v>24.56</v>
      </c>
      <c r="G38" s="40">
        <f t="shared" si="3"/>
        <v>24.56</v>
      </c>
      <c r="H38" s="39"/>
      <c r="I38" s="39"/>
      <c r="J38" s="56" t="e">
        <f>总概算表!#REF!</f>
        <v>#REF!</v>
      </c>
      <c r="K38" s="39" t="e">
        <f t="shared" si="4"/>
        <v>#REF!</v>
      </c>
      <c r="L38" s="39" t="e">
        <f t="shared" si="6"/>
        <v>#REF!</v>
      </c>
      <c r="M38" s="60"/>
      <c r="N38" s="59"/>
    </row>
    <row r="39" s="12" customFormat="1" ht="25" customHeight="1" spans="1:14">
      <c r="A39" s="51" t="s">
        <v>59</v>
      </c>
      <c r="B39" s="36" t="s">
        <v>130</v>
      </c>
      <c r="C39" s="37" t="s">
        <v>116</v>
      </c>
      <c r="D39" s="38"/>
      <c r="E39" s="38"/>
      <c r="F39" s="38">
        <v>4.54</v>
      </c>
      <c r="G39" s="40">
        <f t="shared" si="3"/>
        <v>4.54</v>
      </c>
      <c r="H39" s="39"/>
      <c r="I39" s="39"/>
      <c r="J39" s="56" t="e">
        <f>总概算表!#REF!</f>
        <v>#REF!</v>
      </c>
      <c r="K39" s="39" t="e">
        <f t="shared" si="4"/>
        <v>#REF!</v>
      </c>
      <c r="L39" s="39" t="e">
        <f t="shared" si="6"/>
        <v>#REF!</v>
      </c>
      <c r="M39" s="60"/>
      <c r="N39" s="59"/>
    </row>
    <row r="40" s="12" customFormat="1" ht="25" customHeight="1" spans="1:14">
      <c r="A40" s="51" t="s">
        <v>62</v>
      </c>
      <c r="B40" s="36" t="s">
        <v>131</v>
      </c>
      <c r="C40" s="37" t="s">
        <v>116</v>
      </c>
      <c r="D40" s="38"/>
      <c r="E40" s="38"/>
      <c r="F40" s="38">
        <v>2.73</v>
      </c>
      <c r="G40" s="40">
        <f t="shared" si="3"/>
        <v>2.73</v>
      </c>
      <c r="H40" s="39"/>
      <c r="I40" s="39"/>
      <c r="J40" s="56" t="e">
        <f>总概算表!#REF!</f>
        <v>#REF!</v>
      </c>
      <c r="K40" s="39" t="e">
        <f t="shared" si="4"/>
        <v>#REF!</v>
      </c>
      <c r="L40" s="39" t="e">
        <f t="shared" si="6"/>
        <v>#REF!</v>
      </c>
      <c r="M40" s="60"/>
      <c r="N40" s="59" t="e">
        <f>IF(L40&lt;0,B40&amp;"送审金额为"&amp;G40&amp;C40&amp;"万元，审定金额为"&amp;K40&amp;C40&amp;"万元，审减金额为"&amp;-L40&amp;"万元。主要原因是"&amp;M40&amp;"。",IF(L40&gt;0,B40&amp;"送审金额为"&amp;G40&amp;C40&amp;"万元，审定金额为"&amp;K40&amp;C40&amp;"万元，审增金额为"&amp;L40&amp;"万元。主要原因是"&amp;M40&amp;"。",""""))</f>
        <v>#REF!</v>
      </c>
    </row>
    <row r="41" s="12" customFormat="1" ht="25" customHeight="1" spans="1:14">
      <c r="A41" s="46" t="s">
        <v>64</v>
      </c>
      <c r="B41" s="31" t="s">
        <v>132</v>
      </c>
      <c r="C41" s="32" t="s">
        <v>116</v>
      </c>
      <c r="D41" s="38"/>
      <c r="E41" s="38"/>
      <c r="F41" s="49">
        <f>F42+F43</f>
        <v>59.86</v>
      </c>
      <c r="G41" s="33">
        <f t="shared" si="3"/>
        <v>59.86</v>
      </c>
      <c r="H41" s="39"/>
      <c r="I41" s="39"/>
      <c r="J41" s="56"/>
      <c r="K41" s="39"/>
      <c r="L41" s="39"/>
      <c r="M41" s="60"/>
      <c r="N41" s="59"/>
    </row>
    <row r="42" s="12" customFormat="1" ht="25" customHeight="1" spans="1:14">
      <c r="A42" s="51" t="s">
        <v>66</v>
      </c>
      <c r="B42" s="36" t="s">
        <v>133</v>
      </c>
      <c r="C42" s="37" t="s">
        <v>116</v>
      </c>
      <c r="D42" s="38"/>
      <c r="E42" s="38"/>
      <c r="F42" s="38">
        <v>59.4</v>
      </c>
      <c r="G42" s="40">
        <f t="shared" si="3"/>
        <v>59.4</v>
      </c>
      <c r="H42" s="39"/>
      <c r="I42" s="39"/>
      <c r="J42" s="56"/>
      <c r="K42" s="39"/>
      <c r="L42" s="39"/>
      <c r="M42" s="60"/>
      <c r="N42" s="59"/>
    </row>
    <row r="43" s="12" customFormat="1" ht="25" customHeight="1" spans="1:14">
      <c r="A43" s="51" t="s">
        <v>32</v>
      </c>
      <c r="B43" s="36" t="s">
        <v>134</v>
      </c>
      <c r="C43" s="37" t="s">
        <v>116</v>
      </c>
      <c r="D43" s="38"/>
      <c r="E43" s="38"/>
      <c r="F43" s="38">
        <v>0.46</v>
      </c>
      <c r="G43" s="40">
        <f t="shared" si="3"/>
        <v>0.46</v>
      </c>
      <c r="H43" s="39"/>
      <c r="I43" s="39"/>
      <c r="J43" s="56"/>
      <c r="K43" s="39"/>
      <c r="L43" s="39"/>
      <c r="M43" s="60"/>
      <c r="N43" s="59"/>
    </row>
    <row r="44" s="12" customFormat="1" ht="25" customHeight="1" spans="1:14">
      <c r="A44" s="46" t="s">
        <v>71</v>
      </c>
      <c r="B44" s="31" t="s">
        <v>135</v>
      </c>
      <c r="C44" s="32" t="s">
        <v>116</v>
      </c>
      <c r="D44" s="38"/>
      <c r="E44" s="38"/>
      <c r="F44" s="49">
        <f>F45+F46</f>
        <v>14.14</v>
      </c>
      <c r="G44" s="33">
        <f t="shared" si="3"/>
        <v>14.14</v>
      </c>
      <c r="H44" s="39"/>
      <c r="I44" s="39"/>
      <c r="J44" s="56"/>
      <c r="K44" s="39"/>
      <c r="L44" s="39"/>
      <c r="M44" s="60"/>
      <c r="N44" s="59"/>
    </row>
    <row r="45" s="12" customFormat="1" ht="25" customHeight="1" spans="1:14">
      <c r="A45" s="51" t="s">
        <v>66</v>
      </c>
      <c r="B45" s="36" t="s">
        <v>136</v>
      </c>
      <c r="C45" s="37" t="s">
        <v>116</v>
      </c>
      <c r="D45" s="38"/>
      <c r="E45" s="38"/>
      <c r="F45" s="38">
        <v>10.1</v>
      </c>
      <c r="G45" s="40">
        <f t="shared" si="3"/>
        <v>10.1</v>
      </c>
      <c r="H45" s="39"/>
      <c r="I45" s="39"/>
      <c r="J45" s="56"/>
      <c r="K45" s="39"/>
      <c r="L45" s="39"/>
      <c r="M45" s="60"/>
      <c r="N45" s="59"/>
    </row>
    <row r="46" s="12" customFormat="1" ht="25" customHeight="1" spans="1:14">
      <c r="A46" s="51" t="s">
        <v>32</v>
      </c>
      <c r="B46" s="36" t="s">
        <v>137</v>
      </c>
      <c r="C46" s="37" t="s">
        <v>116</v>
      </c>
      <c r="D46" s="38"/>
      <c r="E46" s="38"/>
      <c r="F46" s="38">
        <v>4.04</v>
      </c>
      <c r="G46" s="40">
        <f t="shared" si="3"/>
        <v>4.04</v>
      </c>
      <c r="H46" s="39"/>
      <c r="I46" s="39"/>
      <c r="J46" s="56"/>
      <c r="K46" s="39"/>
      <c r="L46" s="39"/>
      <c r="M46" s="60"/>
      <c r="N46" s="59"/>
    </row>
    <row r="47" s="12" customFormat="1" ht="25" customHeight="1" spans="1:13">
      <c r="A47" s="42" t="s">
        <v>76</v>
      </c>
      <c r="B47" s="31" t="s">
        <v>77</v>
      </c>
      <c r="C47" s="37" t="s">
        <v>116</v>
      </c>
      <c r="D47" s="53"/>
      <c r="E47" s="53"/>
      <c r="F47" s="44">
        <f>F48</f>
        <v>110.23</v>
      </c>
      <c r="G47" s="45">
        <f t="shared" si="3"/>
        <v>110.23</v>
      </c>
      <c r="H47" s="39"/>
      <c r="I47" s="39"/>
      <c r="J47" s="56">
        <f>J48</f>
        <v>0</v>
      </c>
      <c r="K47" s="34">
        <f>J47</f>
        <v>0</v>
      </c>
      <c r="L47" s="39">
        <f t="shared" ref="L47:L49" si="8">ROUND(K47-G47,2)</f>
        <v>-110.23</v>
      </c>
      <c r="M47" s="58"/>
    </row>
    <row r="48" s="12" customFormat="1" ht="25" customHeight="1" spans="1:14">
      <c r="A48" s="54">
        <v>1</v>
      </c>
      <c r="B48" s="36" t="s">
        <v>78</v>
      </c>
      <c r="C48" s="37" t="s">
        <v>116</v>
      </c>
      <c r="D48" s="53"/>
      <c r="E48" s="53"/>
      <c r="F48" s="55">
        <f>ROUND((G5+G23)*5%,2)</f>
        <v>110.23</v>
      </c>
      <c r="G48" s="56">
        <f t="shared" si="3"/>
        <v>110.23</v>
      </c>
      <c r="H48" s="39"/>
      <c r="I48" s="39"/>
      <c r="J48" s="56">
        <f>总概算表!E37</f>
        <v>0</v>
      </c>
      <c r="K48" s="39">
        <f>J48</f>
        <v>0</v>
      </c>
      <c r="L48" s="39">
        <f t="shared" si="8"/>
        <v>-110.23</v>
      </c>
      <c r="M48" s="60"/>
      <c r="N48" s="59" t="str">
        <f>IF(L48&lt;0,B48&amp;"送审金额为"&amp;G48&amp;C48&amp;"，审定金额为"&amp;K48&amp;C48&amp;"，审减金额为"&amp;-L48&amp;"。主要原因是"&amp;M48&amp;"。",IF(L48&gt;0,B48&amp;"送审金额为"&amp;G48&amp;C48&amp;"，审定金额为"&amp;K48&amp;C48&amp;"，审增金额为"&amp;L48&amp;"万元。主要原因是"&amp;M48&amp;"。",""""))</f>
        <v>基本预备费送审金额为110.23万元，审定金额为0万元，审减金额为110.23。主要原因是。</v>
      </c>
    </row>
    <row r="49" s="12" customFormat="1" ht="25" customHeight="1" spans="1:13">
      <c r="A49" s="42" t="s">
        <v>80</v>
      </c>
      <c r="B49" s="31" t="s">
        <v>81</v>
      </c>
      <c r="C49" s="37" t="s">
        <v>116</v>
      </c>
      <c r="D49" s="53"/>
      <c r="E49" s="53"/>
      <c r="F49" s="44"/>
      <c r="G49" s="45">
        <f>G5+G23+G47</f>
        <v>2314.75</v>
      </c>
      <c r="H49" s="39"/>
      <c r="I49" s="39"/>
      <c r="J49" s="56"/>
      <c r="K49" s="34">
        <f>总概算表!F38</f>
        <v>0</v>
      </c>
      <c r="L49" s="39">
        <f t="shared" si="8"/>
        <v>-2314.75</v>
      </c>
      <c r="M49" s="58"/>
    </row>
    <row r="50" s="12" customFormat="1" customHeight="1" spans="1:16384">
      <c r="A50" s="14"/>
      <c r="B50" s="15"/>
      <c r="C50" s="16"/>
      <c r="D50" s="16"/>
      <c r="E50" s="16"/>
      <c r="F50" s="17"/>
      <c r="G50" s="18"/>
      <c r="H50" s="18"/>
      <c r="I50" s="18"/>
      <c r="J50" s="18"/>
      <c r="K50" s="18"/>
      <c r="L50" s="18"/>
      <c r="M50" s="16"/>
      <c r="XFD50"/>
    </row>
    <row r="51" s="12" customFormat="1" customHeight="1" spans="1:16384">
      <c r="A51" s="14"/>
      <c r="B51" s="15"/>
      <c r="C51" s="16"/>
      <c r="D51" s="16"/>
      <c r="E51" s="16"/>
      <c r="F51" s="17"/>
      <c r="G51" s="18"/>
      <c r="H51" s="18"/>
      <c r="I51" s="18"/>
      <c r="J51" s="18"/>
      <c r="K51" s="18"/>
      <c r="L51" s="18"/>
      <c r="M51" s="16"/>
      <c r="XFD51"/>
    </row>
    <row r="52" s="12" customFormat="1" customHeight="1" spans="1:16384">
      <c r="A52" s="14"/>
      <c r="B52" s="15"/>
      <c r="C52" s="16"/>
      <c r="D52" s="16"/>
      <c r="E52" s="16"/>
      <c r="F52" s="17"/>
      <c r="G52" s="18"/>
      <c r="H52" s="18"/>
      <c r="I52" s="18"/>
      <c r="J52" s="18"/>
      <c r="K52" s="18"/>
      <c r="L52" s="18"/>
      <c r="M52" s="16"/>
      <c r="XFD52"/>
    </row>
    <row r="53" s="12" customFormat="1" customHeight="1" spans="1:16384">
      <c r="A53" s="14"/>
      <c r="B53" s="15"/>
      <c r="C53" s="16"/>
      <c r="D53" s="16"/>
      <c r="E53" s="16"/>
      <c r="F53" s="17"/>
      <c r="G53" s="18"/>
      <c r="H53" s="18"/>
      <c r="I53" s="18"/>
      <c r="J53" s="18"/>
      <c r="K53" s="18"/>
      <c r="L53" s="18"/>
      <c r="M53" s="16"/>
      <c r="XFD53"/>
    </row>
  </sheetData>
  <mergeCells count="9">
    <mergeCell ref="A1:M1"/>
    <mergeCell ref="A2:M2"/>
    <mergeCell ref="D3:G3"/>
    <mergeCell ref="H3:K3"/>
    <mergeCell ref="A3:A4"/>
    <mergeCell ref="B3:B4"/>
    <mergeCell ref="C3:C4"/>
    <mergeCell ref="L3:L4"/>
    <mergeCell ref="M3:M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G8"/>
  <sheetViews>
    <sheetView workbookViewId="0">
      <selection activeCell="B4" sqref="B4:G8"/>
    </sheetView>
  </sheetViews>
  <sheetFormatPr defaultColWidth="8.8" defaultRowHeight="15.75" outlineLevelRow="7" outlineLevelCol="6"/>
  <cols>
    <col min="4" max="4" width="14"/>
    <col min="5" max="7" width="9.2"/>
  </cols>
  <sheetData>
    <row r="3" ht="16.5"/>
    <row r="4" ht="36" spans="2:7">
      <c r="B4" s="7" t="s">
        <v>2</v>
      </c>
      <c r="C4" s="7" t="s">
        <v>208</v>
      </c>
      <c r="D4" s="7" t="s">
        <v>209</v>
      </c>
      <c r="E4" s="7" t="s">
        <v>210</v>
      </c>
      <c r="F4" s="7" t="s">
        <v>211</v>
      </c>
      <c r="G4" s="7" t="s">
        <v>212</v>
      </c>
    </row>
    <row r="5" ht="36" spans="2:7">
      <c r="B5" s="8">
        <v>1</v>
      </c>
      <c r="C5" s="8" t="s">
        <v>213</v>
      </c>
      <c r="D5" s="9">
        <f>ROUND('总概算对比表（龙水片区）'!G5,2)</f>
        <v>920.12</v>
      </c>
      <c r="E5" s="9">
        <f>'总概算对比表（龙水片区）'!K5</f>
        <v>803.8612</v>
      </c>
      <c r="F5" s="9">
        <f>E5-D5</f>
        <v>-116.2588</v>
      </c>
      <c r="G5" s="10">
        <f>F5/D5</f>
        <v>-0.126351780202582</v>
      </c>
    </row>
    <row r="6" ht="36" spans="2:7">
      <c r="B6" s="8">
        <v>2</v>
      </c>
      <c r="C6" s="8" t="s">
        <v>214</v>
      </c>
      <c r="D6" s="9">
        <f>ROUND('总概算对比表（龙水片区）'!G12,2)</f>
        <v>6.48</v>
      </c>
      <c r="E6" s="9">
        <f>'总概算对比表（龙水片区）'!K12</f>
        <v>6.4985</v>
      </c>
      <c r="F6" s="9">
        <f>E6-D6</f>
        <v>0.0184999999999995</v>
      </c>
      <c r="G6" s="10">
        <f>F6/D6</f>
        <v>0.00285493827160486</v>
      </c>
    </row>
    <row r="7" ht="18.4" spans="2:7">
      <c r="B7" s="8">
        <v>3</v>
      </c>
      <c r="C7" s="8" t="s">
        <v>215</v>
      </c>
      <c r="D7" s="9">
        <f>'总概算对比表（龙水片区）'!G49</f>
        <v>0</v>
      </c>
      <c r="E7" s="9">
        <f>'总概算对比表（龙水片区）'!K49</f>
        <v>0</v>
      </c>
      <c r="F7" s="9">
        <f>E7-D7</f>
        <v>0</v>
      </c>
      <c r="G7" s="10" t="e">
        <f>F7/D7</f>
        <v>#DIV/0!</v>
      </c>
    </row>
    <row r="8" ht="18.4" spans="2:7">
      <c r="B8" s="8">
        <v>4</v>
      </c>
      <c r="C8" s="8" t="s">
        <v>10</v>
      </c>
      <c r="D8" s="11">
        <f>'总概算对比表（龙水片区）'!G51</f>
        <v>0</v>
      </c>
      <c r="E8" s="11">
        <f>'总概算对比表（龙水片区）'!K51</f>
        <v>0</v>
      </c>
      <c r="F8" s="9">
        <f>E8-D8</f>
        <v>0</v>
      </c>
      <c r="G8" s="10" t="e">
        <f>F8/D8</f>
        <v>#DIV/0!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G7"/>
  <sheetViews>
    <sheetView workbookViewId="0">
      <selection activeCell="D4" sqref="D4:G7"/>
    </sheetView>
  </sheetViews>
  <sheetFormatPr defaultColWidth="8.8" defaultRowHeight="15.75" outlineLevelRow="6" outlineLevelCol="6"/>
  <cols>
    <col min="4" max="6" width="9.9"/>
    <col min="7" max="7" width="16.5"/>
  </cols>
  <sheetData>
    <row r="2" ht="16.5"/>
    <row r="3" ht="71.25" spans="3:7">
      <c r="C3" s="4" t="s">
        <v>208</v>
      </c>
      <c r="D3" s="4" t="s">
        <v>209</v>
      </c>
      <c r="E3" s="4" t="s">
        <v>216</v>
      </c>
      <c r="F3" s="4" t="s">
        <v>217</v>
      </c>
      <c r="G3" s="4" t="s">
        <v>218</v>
      </c>
    </row>
    <row r="4" ht="36" spans="3:7">
      <c r="C4" s="5" t="s">
        <v>213</v>
      </c>
      <c r="D4" s="5">
        <f>'总概算对比表（龙水片区）'!G5</f>
        <v>920.1248</v>
      </c>
      <c r="E4" s="5">
        <f>'总概算对比表（龙水片区）'!K5</f>
        <v>803.8612</v>
      </c>
      <c r="F4" s="5">
        <f>E4-D4</f>
        <v>-116.2636</v>
      </c>
      <c r="G4" s="6">
        <f>F4/D4</f>
        <v>-0.126356337748966</v>
      </c>
    </row>
    <row r="5" ht="53.65" spans="3:7">
      <c r="C5" s="5" t="s">
        <v>17</v>
      </c>
      <c r="D5" s="5">
        <f>'总概算对比表（龙水片区）'!G12</f>
        <v>6.4803</v>
      </c>
      <c r="E5" s="5">
        <f>'总概算对比表（龙水片区）'!K12</f>
        <v>6.4985</v>
      </c>
      <c r="F5" s="5">
        <f>E5-D5</f>
        <v>0.0182000000000002</v>
      </c>
      <c r="G5" s="6">
        <f>F5/D5</f>
        <v>0.00280851195160721</v>
      </c>
    </row>
    <row r="6" ht="18.4" spans="3:7">
      <c r="C6" s="5" t="s">
        <v>215</v>
      </c>
      <c r="D6" s="5">
        <f>'总概算对比表（龙水片区）'!G49</f>
        <v>0</v>
      </c>
      <c r="E6" s="5">
        <f>'总概算对比表（龙水片区）'!K49</f>
        <v>0</v>
      </c>
      <c r="F6" s="5">
        <f>E6-D6</f>
        <v>0</v>
      </c>
      <c r="G6" s="6" t="e">
        <f>F6/D6</f>
        <v>#DIV/0!</v>
      </c>
    </row>
    <row r="7" ht="18.4" spans="3:7">
      <c r="C7" s="5" t="s">
        <v>10</v>
      </c>
      <c r="D7" s="5">
        <f>'总概算对比表（龙水片区）'!G51</f>
        <v>0</v>
      </c>
      <c r="E7" s="5">
        <f>'总概算对比表（龙水片区）'!K51</f>
        <v>0</v>
      </c>
      <c r="F7" s="5">
        <f>E7-D7</f>
        <v>0</v>
      </c>
      <c r="G7" s="6" t="e">
        <f>F7/D7</f>
        <v>#DIV/0!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H10"/>
  <sheetViews>
    <sheetView workbookViewId="0">
      <selection activeCell="C6" sqref="C6:H10"/>
    </sheetView>
  </sheetViews>
  <sheetFormatPr defaultColWidth="8.8" defaultRowHeight="15.75" outlineLevelCol="7"/>
  <cols>
    <col min="5" max="5" width="15.2"/>
  </cols>
  <sheetData>
    <row r="4" ht="16.5"/>
    <row r="5" ht="36" spans="3:8">
      <c r="C5" s="1" t="s">
        <v>2</v>
      </c>
      <c r="D5" s="1" t="s">
        <v>208</v>
      </c>
      <c r="E5" s="1" t="s">
        <v>209</v>
      </c>
      <c r="F5" s="1" t="s">
        <v>216</v>
      </c>
      <c r="G5" s="1" t="s">
        <v>211</v>
      </c>
      <c r="H5" s="1" t="s">
        <v>212</v>
      </c>
    </row>
    <row r="6" ht="36" spans="3:8">
      <c r="C6" s="2">
        <v>1</v>
      </c>
      <c r="D6" s="2" t="s">
        <v>213</v>
      </c>
      <c r="E6" s="2">
        <f>'总概算对比表（龙水片区）'!G5</f>
        <v>920.1248</v>
      </c>
      <c r="F6" s="2">
        <f>'总概算对比表（龙水片区）'!K5</f>
        <v>803.8612</v>
      </c>
      <c r="G6" s="2">
        <f t="shared" ref="G6:G10" si="0">F6-E6</f>
        <v>-116.2636</v>
      </c>
      <c r="H6" s="3">
        <f t="shared" ref="H6:H8" si="1">G6/E6</f>
        <v>-0.126356337748966</v>
      </c>
    </row>
    <row r="7" ht="36" spans="3:8">
      <c r="C7" s="2">
        <v>2</v>
      </c>
      <c r="D7" s="2" t="s">
        <v>214</v>
      </c>
      <c r="E7" s="2">
        <v>272.7</v>
      </c>
      <c r="F7" s="2">
        <f>'总概算对比表（龙水片区）'!K12</f>
        <v>6.4985</v>
      </c>
      <c r="G7" s="2">
        <f t="shared" si="0"/>
        <v>-266.2015</v>
      </c>
      <c r="H7" s="3">
        <f t="shared" si="1"/>
        <v>-0.976169783645031</v>
      </c>
    </row>
    <row r="8" ht="18.4" spans="3:8">
      <c r="C8" s="2">
        <v>3</v>
      </c>
      <c r="D8" s="2" t="s">
        <v>215</v>
      </c>
      <c r="E8" s="2" t="e">
        <f>'总概算对比表（龙水片区）'!#REF!</f>
        <v>#REF!</v>
      </c>
      <c r="F8" s="2" t="e">
        <f>'总概算对比表（龙水片区）'!#REF!</f>
        <v>#REF!</v>
      </c>
      <c r="G8" s="2" t="e">
        <f t="shared" si="0"/>
        <v>#REF!</v>
      </c>
      <c r="H8" s="3" t="e">
        <f t="shared" si="1"/>
        <v>#REF!</v>
      </c>
    </row>
    <row r="9" ht="36" spans="3:8">
      <c r="C9" s="2">
        <v>4</v>
      </c>
      <c r="D9" s="2" t="s">
        <v>219</v>
      </c>
      <c r="E9" s="2">
        <v>0</v>
      </c>
      <c r="F9" s="2">
        <v>0</v>
      </c>
      <c r="G9" s="2">
        <v>0</v>
      </c>
      <c r="H9" s="2" t="s">
        <v>220</v>
      </c>
    </row>
    <row r="10" ht="18.4" spans="3:8">
      <c r="C10" s="2">
        <v>5</v>
      </c>
      <c r="D10" s="2" t="s">
        <v>10</v>
      </c>
      <c r="E10" s="2">
        <v>3425.64</v>
      </c>
      <c r="F10" s="2" t="e">
        <f>'总概算对比表（龙水片区）'!#REF!</f>
        <v>#REF!</v>
      </c>
      <c r="G10" s="2" t="e">
        <f t="shared" si="0"/>
        <v>#REF!</v>
      </c>
      <c r="H10" s="3" t="e">
        <f>G10/E10</f>
        <v>#REF!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总概算表</vt:lpstr>
      <vt:lpstr>总概算表1</vt:lpstr>
      <vt:lpstr>总概算对比表（龙水片区）</vt:lpstr>
      <vt:lpstr>总概算对比表（三驱片区）</vt:lpstr>
      <vt:lpstr>总概算对比表（万古片区）</vt:lpstr>
      <vt:lpstr>Sheet4</vt:lpstr>
      <vt:lpstr>对比</vt:lpstr>
      <vt:lpstr>概算表-龙岗片区</vt:lpstr>
      <vt:lpstr>概算对比表-龙岗片区</vt:lpstr>
      <vt:lpstr>概算表-棠香片区</vt:lpstr>
      <vt:lpstr>概算对比表-棠香片区</vt:lpstr>
      <vt:lpstr>Sheet3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敏敏</dc:creator>
  <cp:lastModifiedBy>Lucy</cp:lastModifiedBy>
  <dcterms:created xsi:type="dcterms:W3CDTF">2005-03-07T01:33:00Z</dcterms:created>
  <cp:lastPrinted>2018-04-28T04:38:00Z</cp:lastPrinted>
  <dcterms:modified xsi:type="dcterms:W3CDTF">2023-11-21T09:35:58Z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07AA07D65C12410482ADEC10DD5309FE</vt:lpwstr>
  </property>
</Properties>
</file>