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  <sheet name="Sheet1" sheetId="5" state="hidden" r:id="rId2"/>
    <sheet name="Sheet2" sheetId="4" state="hidden" r:id="rId3"/>
  </sheets>
  <definedNames>
    <definedName name="_xlnm.Print_Titles" localSheetId="0">汇总表!$2:$5</definedName>
    <definedName name="_xlnm.Print_Area" localSheetId="0">汇总表!$A$1:$M$41</definedName>
  </definedNames>
  <calcPr calcId="144525" concurrentCalc="0"/>
</workbook>
</file>

<file path=xl/sharedStrings.xml><?xml version="1.0" encoding="utf-8"?>
<sst xmlns="http://schemas.openxmlformats.org/spreadsheetml/2006/main" count="124" uniqueCount="96">
  <si>
    <t>附件1</t>
  </si>
  <si>
    <t>概算汇总表</t>
  </si>
  <si>
    <t xml:space="preserve">工程名称：大足区龙岗一小南校区人行天桥（养正桥）                                                                                                   金额单位：元 </t>
  </si>
  <si>
    <t>序号</t>
  </si>
  <si>
    <t>工程或费用名称</t>
  </si>
  <si>
    <t>概算造价</t>
  </si>
  <si>
    <t/>
  </si>
  <si>
    <t>技术经济指标</t>
  </si>
  <si>
    <t>占总投资额
（%）</t>
  </si>
  <si>
    <t>备注</t>
  </si>
  <si>
    <t>建筑
工程费</t>
  </si>
  <si>
    <t>安装
工程费</t>
  </si>
  <si>
    <t>设备
购置费</t>
  </si>
  <si>
    <t>其他费用</t>
  </si>
  <si>
    <t>合计</t>
  </si>
  <si>
    <t>计量
指标</t>
  </si>
  <si>
    <t>单位</t>
  </si>
  <si>
    <t>数量</t>
  </si>
  <si>
    <t>单位造价
（元）</t>
  </si>
  <si>
    <t>一</t>
  </si>
  <si>
    <t>工程费用</t>
  </si>
  <si>
    <t>桥梁面积</t>
  </si>
  <si>
    <t>m2</t>
  </si>
  <si>
    <t>过街天桥（钢箱梁)</t>
  </si>
  <si>
    <t>跨河桥工程（钢箱梁)</t>
  </si>
  <si>
    <t>停车场工程</t>
  </si>
  <si>
    <t>二</t>
  </si>
  <si>
    <t>工程建设其他费用</t>
  </si>
  <si>
    <t>前期工程费</t>
  </si>
  <si>
    <t>征地拆迁补偿费用</t>
  </si>
  <si>
    <t>与项目建设有关的其他费用</t>
  </si>
  <si>
    <t>场地准备及临时设施费</t>
  </si>
  <si>
    <t>（一）*1%</t>
  </si>
  <si>
    <t>项目建设管理费</t>
  </si>
  <si>
    <t>《2021概算定额-建筑安装编制办法》</t>
  </si>
  <si>
    <t>工程建设监理费</t>
  </si>
  <si>
    <t>发改价格[2007]670号</t>
  </si>
  <si>
    <t>招标代理费</t>
  </si>
  <si>
    <t>2021年《重庆市建筑安装工程设计概算编制办法》(CQGSBF-JA-2021) （一）*0.385%</t>
  </si>
  <si>
    <t>招标投标交易服务费</t>
  </si>
  <si>
    <t>渝价(2018) 54号</t>
  </si>
  <si>
    <t>项目前期论证费</t>
  </si>
  <si>
    <t>可研编制与评估设计合同中已包含</t>
  </si>
  <si>
    <t>工程勘察测量费</t>
  </si>
  <si>
    <t>按合同计取（已经包含审查费用、见证费用）</t>
  </si>
  <si>
    <t>勘察成果审查费</t>
  </si>
  <si>
    <t>在勘察费用里面已经计取</t>
  </si>
  <si>
    <t>勘测外业见证费</t>
  </si>
  <si>
    <t>工程设计费</t>
  </si>
  <si>
    <t>按设计合同计取（包含可研编制费用）</t>
  </si>
  <si>
    <t>工程造价咨询服务费</t>
  </si>
  <si>
    <t>2021年《重庆市建筑安装工程设计概算编制办法》(CQGSBF-JA-2021) （一）</t>
  </si>
  <si>
    <t>2.11.1</t>
  </si>
  <si>
    <t>概算审核费</t>
  </si>
  <si>
    <t>2.11.2</t>
  </si>
  <si>
    <t>工程量清单及组价编制费</t>
  </si>
  <si>
    <t>2.11.3</t>
  </si>
  <si>
    <t>工程量清单及组价审核费</t>
  </si>
  <si>
    <t>2.11.4</t>
  </si>
  <si>
    <t>施工阶段工程造价全过程控制</t>
  </si>
  <si>
    <t>2.11.5</t>
  </si>
  <si>
    <t>工程量清单结算审核费</t>
  </si>
  <si>
    <t>概算未考虑</t>
  </si>
  <si>
    <t>工程保险费</t>
  </si>
  <si>
    <t>2021年《重庆市建筑安装工程设计概算编制办法》(CQGSBF-JA-2021) （一）*0.3%</t>
  </si>
  <si>
    <t>安全生产保障费用</t>
  </si>
  <si>
    <t>2021年《重庆市建筑安装工程设计概算编制办法》(CQGSBF-JA-2021) （一）*1%</t>
  </si>
  <si>
    <t>施工图审查费</t>
  </si>
  <si>
    <t>环境影响评价费</t>
  </si>
  <si>
    <t>水土保持论证费</t>
  </si>
  <si>
    <t>可行性研究报告</t>
  </si>
  <si>
    <t>工程地灾评估费</t>
  </si>
  <si>
    <t>洪水影响评价合同</t>
  </si>
  <si>
    <t>节能报告编制费</t>
  </si>
  <si>
    <t>社会风险稳定评估费</t>
  </si>
  <si>
    <t>桥梁检测费</t>
  </si>
  <si>
    <t>三</t>
  </si>
  <si>
    <t>基本预备费</t>
  </si>
  <si>
    <t>（一+二）*5%</t>
  </si>
  <si>
    <t>四</t>
  </si>
  <si>
    <t>建设期贷款利息</t>
  </si>
  <si>
    <t>五</t>
  </si>
  <si>
    <t>建设项目概算总投资</t>
  </si>
  <si>
    <t>项目名称</t>
  </si>
  <si>
    <t>送审金额</t>
  </si>
  <si>
    <t>审核金额</t>
  </si>
  <si>
    <t>审增、减（+/-）金额</t>
  </si>
  <si>
    <t>审增、减（+/-）率</t>
  </si>
  <si>
    <t>独立费</t>
  </si>
  <si>
    <t>预备费</t>
  </si>
  <si>
    <t>专项部分投资</t>
  </si>
  <si>
    <t>审增、减金额</t>
  </si>
  <si>
    <t>审增、减率</t>
  </si>
  <si>
    <t>工程其他费用</t>
  </si>
  <si>
    <t>专项费用</t>
  </si>
  <si>
    <t>/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</si>
</sst>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(0.00\)"/>
  </numFmts>
  <fonts count="64">
    <font>
      <sz val="12"/>
      <name val="宋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color indexed="0"/>
      <name val="宋体"/>
      <charset val="134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color indexed="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color indexed="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ajor"/>
    </font>
    <font>
      <b/>
      <sz val="10"/>
      <color theme="1"/>
      <name val="Times New Roman"/>
      <charset val="0"/>
    </font>
    <font>
      <b/>
      <sz val="10"/>
      <name val="宋体"/>
      <charset val="134"/>
      <scheme val="maj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2">
    <xf numFmtId="0" fontId="0" fillId="0" borderId="0"/>
    <xf numFmtId="42" fontId="16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9" borderId="9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13" borderId="12" applyNumberFormat="0" applyAlignment="0" applyProtection="0">
      <alignment vertical="center"/>
    </xf>
    <xf numFmtId="0" fontId="43" fillId="13" borderId="7" applyNumberFormat="0" applyAlignment="0" applyProtection="0">
      <alignment vertical="center"/>
    </xf>
    <xf numFmtId="0" fontId="44" fillId="14" borderId="13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9" fillId="6" borderId="16" applyNumberFormat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0" fillId="0" borderId="0"/>
    <xf numFmtId="0" fontId="57" fillId="42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9" fillId="49" borderId="21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63" fillId="44" borderId="8" applyNumberFormat="0" applyAlignment="0" applyProtection="0">
      <alignment vertical="center"/>
    </xf>
    <xf numFmtId="0" fontId="0" fillId="54" borderId="23" applyNumberFormat="0" applyFont="0" applyAlignment="0" applyProtection="0">
      <alignment vertical="center"/>
    </xf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3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right" wrapText="1"/>
    </xf>
    <xf numFmtId="176" fontId="0" fillId="0" borderId="0" xfId="0" applyNumberFormat="1" applyFill="1" applyAlignment="1">
      <alignment horizontal="right" wrapText="1"/>
    </xf>
    <xf numFmtId="0" fontId="0" fillId="0" borderId="0" xfId="0" applyFill="1" applyAlignment="1">
      <alignment horizontal="center" wrapText="1"/>
    </xf>
    <xf numFmtId="177" fontId="0" fillId="0" borderId="0" xfId="0" applyNumberFormat="1" applyFill="1" applyAlignment="1">
      <alignment horizontal="right" wrapText="1"/>
    </xf>
    <xf numFmtId="0" fontId="5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NumberFormat="1" applyFont="1" applyFill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176" fontId="1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right" wrapText="1"/>
    </xf>
    <xf numFmtId="0" fontId="0" fillId="0" borderId="3" xfId="0" applyFill="1" applyBorder="1" applyAlignment="1">
      <alignment horizontal="center" wrapText="1"/>
    </xf>
    <xf numFmtId="176" fontId="20" fillId="0" borderId="3" xfId="0" applyNumberFormat="1" applyFont="1" applyFill="1" applyBorder="1" applyAlignment="1">
      <alignment horizontal="right" wrapText="1"/>
    </xf>
    <xf numFmtId="0" fontId="21" fillId="0" borderId="3" xfId="0" applyFont="1" applyFill="1" applyBorder="1" applyAlignment="1">
      <alignment horizontal="justify" vertical="center" wrapText="1"/>
    </xf>
    <xf numFmtId="0" fontId="21" fillId="0" borderId="3" xfId="0" applyFont="1" applyFill="1" applyBorder="1" applyAlignment="1">
      <alignment vertical="center"/>
    </xf>
    <xf numFmtId="177" fontId="6" fillId="0" borderId="0" xfId="0" applyNumberFormat="1" applyFont="1" applyFill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 shrinkToFit="1"/>
    </xf>
    <xf numFmtId="177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shrinkToFi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shrinkToFit="1"/>
    </xf>
    <xf numFmtId="178" fontId="20" fillId="0" borderId="3" xfId="0" applyNumberFormat="1" applyFont="1" applyFill="1" applyBorder="1" applyAlignment="1">
      <alignment horizontal="center" vertical="center" wrapText="1"/>
    </xf>
    <xf numFmtId="177" fontId="20" fillId="0" borderId="3" xfId="0" applyNumberFormat="1" applyFont="1" applyFill="1" applyBorder="1" applyAlignment="1">
      <alignment horizontal="right" vertical="center" wrapText="1"/>
    </xf>
    <xf numFmtId="176" fontId="11" fillId="0" borderId="3" xfId="0" applyNumberFormat="1" applyFont="1" applyFill="1" applyBorder="1" applyAlignment="1" applyProtection="1">
      <alignment horizontal="right" vertical="center"/>
      <protection locked="0"/>
    </xf>
    <xf numFmtId="10" fontId="15" fillId="0" borderId="3" xfId="0" applyNumberFormat="1" applyFont="1" applyFill="1" applyBorder="1" applyAlignment="1">
      <alignment horizontal="right" vertical="center" wrapText="1"/>
    </xf>
    <xf numFmtId="0" fontId="23" fillId="0" borderId="3" xfId="0" applyFont="1" applyFill="1" applyBorder="1" applyAlignment="1">
      <alignment vertical="center" wrapText="1"/>
    </xf>
    <xf numFmtId="10" fontId="8" fillId="0" borderId="3" xfId="0" applyNumberFormat="1" applyFont="1" applyFill="1" applyBorder="1" applyAlignment="1">
      <alignment horizontal="right" vertical="center" wrapText="1"/>
    </xf>
    <xf numFmtId="0" fontId="24" fillId="0" borderId="3" xfId="0" applyFont="1" applyFill="1" applyBorder="1" applyAlignment="1">
      <alignment vertical="center" wrapText="1"/>
    </xf>
    <xf numFmtId="176" fontId="14" fillId="0" borderId="3" xfId="0" applyNumberFormat="1" applyFont="1" applyFill="1" applyBorder="1" applyAlignment="1" applyProtection="1">
      <alignment horizontal="right" vertical="center"/>
      <protection locked="0"/>
    </xf>
    <xf numFmtId="0" fontId="25" fillId="0" borderId="3" xfId="0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177" fontId="13" fillId="0" borderId="0" xfId="0" applyNumberFormat="1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right" wrapText="1"/>
    </xf>
    <xf numFmtId="0" fontId="2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</cellXfs>
  <cellStyles count="9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常规 2" xfId="76"/>
    <cellStyle name="好 2" xfId="77"/>
    <cellStyle name="汇总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  <cellStyle name="常规_造价对比分析表" xfId="91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42"/>
  <sheetViews>
    <sheetView tabSelected="1" view="pageBreakPreview" zoomScaleNormal="100" workbookViewId="0">
      <pane ySplit="6" topLeftCell="A7" activePane="bottomLeft" state="frozen"/>
      <selection/>
      <selection pane="bottomLeft" activeCell="H15" sqref="H15"/>
    </sheetView>
  </sheetViews>
  <sheetFormatPr defaultColWidth="9" defaultRowHeight="18.75" customHeight="1"/>
  <cols>
    <col min="1" max="1" width="6.5" style="10" customWidth="1"/>
    <col min="2" max="2" width="19.125" style="11" customWidth="1"/>
    <col min="3" max="3" width="16.625" style="12" customWidth="1"/>
    <col min="4" max="4" width="15.875" style="12" customWidth="1"/>
    <col min="5" max="5" width="14.5" style="12" customWidth="1"/>
    <col min="6" max="6" width="17.125" style="12" customWidth="1"/>
    <col min="7" max="7" width="18.5" style="13" customWidth="1"/>
    <col min="8" max="8" width="8" style="14" customWidth="1"/>
    <col min="9" max="9" width="4.125" style="14" customWidth="1"/>
    <col min="10" max="10" width="9.875" style="15" customWidth="1"/>
    <col min="11" max="11" width="12.625" style="12" customWidth="1"/>
    <col min="12" max="12" width="9.25" style="12" customWidth="1"/>
    <col min="13" max="13" width="27" style="16" customWidth="1"/>
    <col min="14" max="14" width="9" style="10"/>
    <col min="15" max="15" width="14.125" style="10"/>
    <col min="16" max="16384" width="9" style="10"/>
  </cols>
  <sheetData>
    <row r="1" customHeight="1" spans="1:1">
      <c r="A1" s="10" t="s">
        <v>0</v>
      </c>
    </row>
    <row r="2" ht="30" customHeight="1" spans="1:13">
      <c r="A2" s="17" t="s">
        <v>1</v>
      </c>
      <c r="B2" s="18"/>
      <c r="C2" s="17"/>
      <c r="D2" s="17"/>
      <c r="E2" s="17"/>
      <c r="F2" s="17"/>
      <c r="G2" s="19"/>
      <c r="H2" s="17"/>
      <c r="I2" s="17"/>
      <c r="J2" s="51"/>
      <c r="K2" s="17"/>
      <c r="L2" s="17"/>
      <c r="M2" s="52"/>
    </row>
    <row r="3" ht="30" customHeight="1" spans="1:13">
      <c r="A3" s="20" t="s">
        <v>2</v>
      </c>
      <c r="B3" s="20"/>
      <c r="C3" s="20"/>
      <c r="D3" s="20"/>
      <c r="E3" s="20"/>
      <c r="F3" s="20"/>
      <c r="G3" s="21"/>
      <c r="H3" s="20"/>
      <c r="I3" s="22"/>
      <c r="J3" s="53"/>
      <c r="K3" s="20"/>
      <c r="L3" s="20"/>
      <c r="M3" s="54"/>
    </row>
    <row r="4" s="8" customFormat="1" ht="30" customHeight="1" spans="1:13">
      <c r="A4" s="22" t="s">
        <v>3</v>
      </c>
      <c r="B4" s="20" t="s">
        <v>4</v>
      </c>
      <c r="C4" s="22" t="s">
        <v>5</v>
      </c>
      <c r="D4" s="22" t="s">
        <v>6</v>
      </c>
      <c r="E4" s="22"/>
      <c r="F4" s="22"/>
      <c r="G4" s="23" t="s">
        <v>6</v>
      </c>
      <c r="H4" s="22" t="s">
        <v>7</v>
      </c>
      <c r="I4" s="22" t="s">
        <v>6</v>
      </c>
      <c r="J4" s="55" t="s">
        <v>6</v>
      </c>
      <c r="K4" s="22" t="s">
        <v>6</v>
      </c>
      <c r="L4" s="22" t="s">
        <v>8</v>
      </c>
      <c r="M4" s="56" t="s">
        <v>9</v>
      </c>
    </row>
    <row r="5" s="8" customFormat="1" ht="41" customHeight="1" spans="1:13">
      <c r="A5" s="22" t="s">
        <v>6</v>
      </c>
      <c r="B5" s="20" t="s">
        <v>6</v>
      </c>
      <c r="C5" s="22" t="s">
        <v>10</v>
      </c>
      <c r="D5" s="22" t="s">
        <v>11</v>
      </c>
      <c r="E5" s="22" t="s">
        <v>12</v>
      </c>
      <c r="F5" s="22" t="s">
        <v>13</v>
      </c>
      <c r="G5" s="23" t="s">
        <v>14</v>
      </c>
      <c r="H5" s="22" t="s">
        <v>15</v>
      </c>
      <c r="I5" s="22" t="s">
        <v>16</v>
      </c>
      <c r="J5" s="55" t="s">
        <v>17</v>
      </c>
      <c r="K5" s="22" t="s">
        <v>18</v>
      </c>
      <c r="L5" s="22" t="s">
        <v>6</v>
      </c>
      <c r="M5" s="56"/>
    </row>
    <row r="6" ht="22" customHeight="1" spans="1:13">
      <c r="A6" s="24" t="s">
        <v>19</v>
      </c>
      <c r="B6" s="25" t="s">
        <v>20</v>
      </c>
      <c r="C6" s="26">
        <v>9887083.49</v>
      </c>
      <c r="D6" s="26">
        <v>932805.07</v>
      </c>
      <c r="E6" s="26"/>
      <c r="F6" s="27"/>
      <c r="G6" s="26">
        <f>SUM(G7:G9)</f>
        <v>11553822.66</v>
      </c>
      <c r="H6" s="28" t="s">
        <v>21</v>
      </c>
      <c r="I6" s="57" t="s">
        <v>22</v>
      </c>
      <c r="J6" s="58">
        <v>1070.1</v>
      </c>
      <c r="K6" s="59">
        <f>G6/J6</f>
        <v>10796.9560414915</v>
      </c>
      <c r="L6" s="60">
        <f>G6/$G$41</f>
        <v>0.815457140086763</v>
      </c>
      <c r="M6" s="61"/>
    </row>
    <row r="7" s="9" customFormat="1" ht="23" customHeight="1" spans="1:13">
      <c r="A7" s="29">
        <v>1</v>
      </c>
      <c r="B7" s="29" t="s">
        <v>23</v>
      </c>
      <c r="C7" s="30">
        <v>8946247.57</v>
      </c>
      <c r="D7" s="31">
        <v>675617.74</v>
      </c>
      <c r="E7" s="31"/>
      <c r="F7" s="32"/>
      <c r="G7" s="30">
        <f>C7+D7</f>
        <v>9621865.31</v>
      </c>
      <c r="H7" s="33"/>
      <c r="I7" s="57"/>
      <c r="J7" s="58"/>
      <c r="K7" s="59"/>
      <c r="L7" s="62">
        <f t="shared" ref="L7:L41" si="0">G7/$G$41</f>
        <v>0.679101540579872</v>
      </c>
      <c r="M7" s="63"/>
    </row>
    <row r="8" ht="35" customHeight="1" spans="1:15">
      <c r="A8" s="29">
        <v>2</v>
      </c>
      <c r="B8" s="29" t="s">
        <v>24</v>
      </c>
      <c r="C8" s="30">
        <v>794022.79</v>
      </c>
      <c r="D8" s="34">
        <v>65309.11</v>
      </c>
      <c r="E8" s="35"/>
      <c r="F8" s="27"/>
      <c r="G8" s="30">
        <f>C8+D8</f>
        <v>859331.9</v>
      </c>
      <c r="H8" s="28"/>
      <c r="I8" s="57"/>
      <c r="J8" s="58"/>
      <c r="K8" s="59"/>
      <c r="L8" s="62">
        <f t="shared" si="0"/>
        <v>0.0606507780308378</v>
      </c>
      <c r="M8" s="63"/>
      <c r="O8" s="10">
        <v>139.5</v>
      </c>
    </row>
    <row r="9" ht="27" customHeight="1" spans="1:13">
      <c r="A9" s="29">
        <v>3</v>
      </c>
      <c r="B9" s="29" t="s">
        <v>25</v>
      </c>
      <c r="C9" s="30">
        <v>880747.23</v>
      </c>
      <c r="D9" s="34">
        <v>191878.22</v>
      </c>
      <c r="E9" s="35"/>
      <c r="F9" s="32"/>
      <c r="G9" s="30">
        <f>C9+D9</f>
        <v>1072625.45</v>
      </c>
      <c r="H9" s="22"/>
      <c r="I9" s="57"/>
      <c r="J9" s="58"/>
      <c r="K9" s="64"/>
      <c r="L9" s="62">
        <f t="shared" si="0"/>
        <v>0.0757048214760531</v>
      </c>
      <c r="M9" s="63"/>
    </row>
    <row r="10" s="9" customFormat="1" ht="20.1" customHeight="1" spans="1:13">
      <c r="A10" s="36" t="s">
        <v>26</v>
      </c>
      <c r="B10" s="25" t="s">
        <v>27</v>
      </c>
      <c r="C10" s="37"/>
      <c r="D10" s="37"/>
      <c r="E10" s="37"/>
      <c r="F10" s="38">
        <f>G10</f>
        <v>1940008.08553821</v>
      </c>
      <c r="G10" s="38">
        <f>(G13+G11)</f>
        <v>1940008.08553821</v>
      </c>
      <c r="H10" s="28" t="s">
        <v>21</v>
      </c>
      <c r="I10" s="57" t="s">
        <v>22</v>
      </c>
      <c r="J10" s="58">
        <v>1070.1</v>
      </c>
      <c r="K10" s="59">
        <f>G10/J10</f>
        <v>1812.92223674256</v>
      </c>
      <c r="L10" s="60">
        <f t="shared" si="0"/>
        <v>0.136923812294189</v>
      </c>
      <c r="M10" s="65"/>
    </row>
    <row r="11" s="9" customFormat="1" ht="20.1" customHeight="1" spans="1:13">
      <c r="A11" s="36">
        <v>1</v>
      </c>
      <c r="B11" s="25" t="s">
        <v>28</v>
      </c>
      <c r="C11" s="39"/>
      <c r="D11" s="39"/>
      <c r="E11" s="39"/>
      <c r="F11" s="38">
        <f t="shared" ref="F11:F41" si="1">G11</f>
        <v>0</v>
      </c>
      <c r="G11" s="38">
        <f>G12</f>
        <v>0</v>
      </c>
      <c r="H11" s="40"/>
      <c r="I11" s="40"/>
      <c r="J11" s="66"/>
      <c r="K11" s="39"/>
      <c r="L11" s="60">
        <f t="shared" si="0"/>
        <v>0</v>
      </c>
      <c r="M11" s="67"/>
    </row>
    <row r="12" ht="20.1" customHeight="1" spans="1:13">
      <c r="A12" s="41">
        <v>1.1</v>
      </c>
      <c r="B12" s="42" t="s">
        <v>29</v>
      </c>
      <c r="C12" s="43"/>
      <c r="D12" s="43"/>
      <c r="E12" s="43"/>
      <c r="F12" s="31">
        <f t="shared" si="1"/>
        <v>0</v>
      </c>
      <c r="G12" s="31">
        <v>0</v>
      </c>
      <c r="H12" s="44"/>
      <c r="I12" s="44"/>
      <c r="J12" s="66"/>
      <c r="K12" s="43"/>
      <c r="L12" s="62">
        <f t="shared" si="0"/>
        <v>0</v>
      </c>
      <c r="M12" s="68"/>
    </row>
    <row r="13" s="9" customFormat="1" ht="40" customHeight="1" spans="1:13">
      <c r="A13" s="36">
        <v>2</v>
      </c>
      <c r="B13" s="25" t="s">
        <v>30</v>
      </c>
      <c r="C13" s="39"/>
      <c r="D13" s="39"/>
      <c r="E13" s="39"/>
      <c r="F13" s="38">
        <f t="shared" si="1"/>
        <v>1940008.08553821</v>
      </c>
      <c r="G13" s="38">
        <f>(SUM(G14:G24,G30:G38))</f>
        <v>1940008.08553821</v>
      </c>
      <c r="H13" s="40"/>
      <c r="I13" s="40"/>
      <c r="J13" s="66"/>
      <c r="K13" s="39"/>
      <c r="L13" s="60">
        <f t="shared" si="0"/>
        <v>0.136923812294189</v>
      </c>
      <c r="M13" s="67"/>
    </row>
    <row r="14" s="9" customFormat="1" ht="29" customHeight="1" spans="1:13">
      <c r="A14" s="41">
        <v>2.1</v>
      </c>
      <c r="B14" s="42" t="s">
        <v>31</v>
      </c>
      <c r="C14" s="43"/>
      <c r="D14" s="43"/>
      <c r="E14" s="43"/>
      <c r="F14" s="31">
        <f t="shared" si="1"/>
        <v>115538.2266</v>
      </c>
      <c r="G14" s="31">
        <f>(G6*1/100)</f>
        <v>115538.2266</v>
      </c>
      <c r="H14" s="28"/>
      <c r="I14" s="57"/>
      <c r="J14" s="58"/>
      <c r="K14" s="59"/>
      <c r="L14" s="62">
        <f t="shared" si="0"/>
        <v>0.00815457140086763</v>
      </c>
      <c r="M14" s="69" t="s">
        <v>32</v>
      </c>
    </row>
    <row r="15" s="9" customFormat="1" ht="24" spans="1:15">
      <c r="A15" s="41">
        <v>2.2</v>
      </c>
      <c r="B15" s="42" t="s">
        <v>33</v>
      </c>
      <c r="C15" s="43"/>
      <c r="D15" s="43"/>
      <c r="E15" s="43"/>
      <c r="F15" s="31">
        <f t="shared" si="1"/>
        <v>258638.915102214</v>
      </c>
      <c r="G15" s="31">
        <f>200000+(O15-10000000)*1.5%</f>
        <v>258638.915102214</v>
      </c>
      <c r="H15" s="40"/>
      <c r="I15" s="40"/>
      <c r="J15" s="66"/>
      <c r="K15" s="39"/>
      <c r="L15" s="62">
        <f t="shared" si="0"/>
        <v>0.0182544735392706</v>
      </c>
      <c r="M15" s="70" t="s">
        <v>34</v>
      </c>
      <c r="O15" s="71">
        <v>13909261.0068143</v>
      </c>
    </row>
    <row r="16" ht="27" customHeight="1" spans="1:13">
      <c r="A16" s="41">
        <v>2.3</v>
      </c>
      <c r="B16" s="42" t="s">
        <v>35</v>
      </c>
      <c r="C16" s="43"/>
      <c r="D16" s="43"/>
      <c r="E16" s="43"/>
      <c r="F16" s="31">
        <f t="shared" si="1"/>
        <v>343919.358618</v>
      </c>
      <c r="G16" s="31">
        <f>(16.5+(30.15-16.5)*(G6/10000-500)/500)*10000</f>
        <v>343919.358618</v>
      </c>
      <c r="H16" s="44"/>
      <c r="I16" s="44"/>
      <c r="J16" s="66"/>
      <c r="K16" s="43"/>
      <c r="L16" s="62">
        <f t="shared" si="0"/>
        <v>0.0242734811544276</v>
      </c>
      <c r="M16" s="72" t="s">
        <v>36</v>
      </c>
    </row>
    <row r="17" ht="51" customHeight="1" spans="1:13">
      <c r="A17" s="41">
        <v>2.4</v>
      </c>
      <c r="B17" s="42" t="s">
        <v>37</v>
      </c>
      <c r="C17" s="43"/>
      <c r="D17" s="43"/>
      <c r="E17" s="43"/>
      <c r="F17" s="31">
        <f t="shared" si="1"/>
        <v>44482.217241</v>
      </c>
      <c r="G17" s="31">
        <f>(0.385/100*G6)</f>
        <v>44482.217241</v>
      </c>
      <c r="H17" s="44"/>
      <c r="I17" s="44"/>
      <c r="J17" s="66"/>
      <c r="K17" s="43"/>
      <c r="L17" s="62">
        <f t="shared" si="0"/>
        <v>0.00313950998933404</v>
      </c>
      <c r="M17" s="70" t="s">
        <v>38</v>
      </c>
    </row>
    <row r="18" s="9" customFormat="1" ht="29" customHeight="1" spans="1:13">
      <c r="A18" s="41">
        <v>2.5</v>
      </c>
      <c r="B18" s="42" t="s">
        <v>39</v>
      </c>
      <c r="C18" s="43"/>
      <c r="D18" s="43"/>
      <c r="E18" s="43"/>
      <c r="F18" s="31">
        <f t="shared" si="1"/>
        <v>19641.498522</v>
      </c>
      <c r="G18" s="31">
        <f>(G6*0.17/100)</f>
        <v>19641.498522</v>
      </c>
      <c r="H18" s="40"/>
      <c r="I18" s="40"/>
      <c r="J18" s="66"/>
      <c r="K18" s="39"/>
      <c r="L18" s="62">
        <f t="shared" si="0"/>
        <v>0.0013862771381475</v>
      </c>
      <c r="M18" s="72" t="s">
        <v>40</v>
      </c>
    </row>
    <row r="19" ht="30" customHeight="1" spans="1:13">
      <c r="A19" s="41">
        <v>2.6</v>
      </c>
      <c r="B19" s="42" t="s">
        <v>41</v>
      </c>
      <c r="C19" s="43"/>
      <c r="D19" s="43"/>
      <c r="E19" s="43"/>
      <c r="F19" s="31">
        <f t="shared" si="1"/>
        <v>0</v>
      </c>
      <c r="G19" s="31">
        <v>0</v>
      </c>
      <c r="H19" s="44"/>
      <c r="I19" s="44"/>
      <c r="J19" s="66"/>
      <c r="K19" s="43"/>
      <c r="L19" s="62">
        <f t="shared" si="0"/>
        <v>0</v>
      </c>
      <c r="M19" s="72" t="s">
        <v>42</v>
      </c>
    </row>
    <row r="20" ht="52" customHeight="1" spans="1:13">
      <c r="A20" s="41">
        <v>2.7</v>
      </c>
      <c r="B20" s="42" t="s">
        <v>43</v>
      </c>
      <c r="C20" s="43"/>
      <c r="D20" s="43"/>
      <c r="E20" s="43"/>
      <c r="F20" s="31">
        <f t="shared" si="1"/>
        <v>108954</v>
      </c>
      <c r="G20" s="31">
        <f>605.3*180</f>
        <v>108954</v>
      </c>
      <c r="H20" s="44"/>
      <c r="I20" s="44"/>
      <c r="J20" s="66"/>
      <c r="K20" s="43"/>
      <c r="L20" s="62">
        <f t="shared" si="0"/>
        <v>0.0076898633340295</v>
      </c>
      <c r="M20" s="70" t="s">
        <v>44</v>
      </c>
    </row>
    <row r="21" ht="26" customHeight="1" spans="1:13">
      <c r="A21" s="41">
        <v>2.8</v>
      </c>
      <c r="B21" s="42" t="s">
        <v>45</v>
      </c>
      <c r="C21" s="39"/>
      <c r="D21" s="39"/>
      <c r="E21" s="39"/>
      <c r="F21" s="31">
        <f t="shared" si="1"/>
        <v>0</v>
      </c>
      <c r="G21" s="31">
        <v>0</v>
      </c>
      <c r="H21" s="28"/>
      <c r="I21" s="57"/>
      <c r="J21" s="58"/>
      <c r="K21" s="59"/>
      <c r="L21" s="62">
        <f t="shared" si="0"/>
        <v>0</v>
      </c>
      <c r="M21" s="72" t="s">
        <v>46</v>
      </c>
    </row>
    <row r="22" ht="34" customHeight="1" spans="1:13">
      <c r="A22" s="41">
        <v>2.9</v>
      </c>
      <c r="B22" s="42" t="s">
        <v>47</v>
      </c>
      <c r="C22" s="43"/>
      <c r="D22" s="43"/>
      <c r="E22" s="43"/>
      <c r="F22" s="31">
        <f t="shared" si="1"/>
        <v>0</v>
      </c>
      <c r="G22" s="31">
        <v>0</v>
      </c>
      <c r="H22" s="44"/>
      <c r="I22" s="44"/>
      <c r="J22" s="66"/>
      <c r="K22" s="43"/>
      <c r="L22" s="62">
        <f t="shared" si="0"/>
        <v>0</v>
      </c>
      <c r="M22" s="72" t="s">
        <v>46</v>
      </c>
    </row>
    <row r="23" ht="41" customHeight="1" spans="1:13">
      <c r="A23" s="45">
        <v>2.1</v>
      </c>
      <c r="B23" s="42" t="s">
        <v>48</v>
      </c>
      <c r="C23" s="43"/>
      <c r="D23" s="43"/>
      <c r="E23" s="43"/>
      <c r="F23" s="31">
        <f t="shared" si="1"/>
        <v>431000</v>
      </c>
      <c r="G23" s="31">
        <v>431000</v>
      </c>
      <c r="H23" s="28"/>
      <c r="I23" s="57"/>
      <c r="J23" s="58"/>
      <c r="K23" s="59"/>
      <c r="L23" s="62">
        <f t="shared" si="0"/>
        <v>0.0304195449177333</v>
      </c>
      <c r="M23" s="72" t="s">
        <v>49</v>
      </c>
    </row>
    <row r="24" ht="41" customHeight="1" spans="1:13">
      <c r="A24" s="41">
        <v>2.11</v>
      </c>
      <c r="B24" s="42" t="s">
        <v>50</v>
      </c>
      <c r="C24" s="43"/>
      <c r="D24" s="43"/>
      <c r="E24" s="43"/>
      <c r="F24" s="31">
        <f t="shared" si="1"/>
        <v>255235.734481</v>
      </c>
      <c r="G24" s="31">
        <f>(SUM(G25:G29))</f>
        <v>255235.734481</v>
      </c>
      <c r="H24" s="28"/>
      <c r="I24" s="57"/>
      <c r="J24" s="58"/>
      <c r="K24" s="59"/>
      <c r="L24" s="62">
        <f t="shared" si="0"/>
        <v>0.0180142804864395</v>
      </c>
      <c r="M24" s="70" t="s">
        <v>51</v>
      </c>
    </row>
    <row r="25" ht="51" customHeight="1" spans="1:13">
      <c r="A25" s="41" t="s">
        <v>52</v>
      </c>
      <c r="B25" s="42" t="s">
        <v>53</v>
      </c>
      <c r="C25" s="46"/>
      <c r="D25" s="46"/>
      <c r="E25" s="46"/>
      <c r="F25" s="31">
        <f t="shared" si="1"/>
        <v>14053.82266</v>
      </c>
      <c r="G25" s="30">
        <f>((500-0)*0.13%+(1000-500)*0.12%+(G6/10000-1000)*0.1%)*10000</f>
        <v>14053.82266</v>
      </c>
      <c r="H25" s="47"/>
      <c r="I25" s="47"/>
      <c r="J25" s="73"/>
      <c r="K25" s="46"/>
      <c r="L25" s="62">
        <f t="shared" si="0"/>
        <v>0.000991904616407722</v>
      </c>
      <c r="M25" s="70" t="s">
        <v>38</v>
      </c>
    </row>
    <row r="26" ht="51" customHeight="1" spans="1:13">
      <c r="A26" s="41" t="s">
        <v>54</v>
      </c>
      <c r="B26" s="42" t="s">
        <v>55</v>
      </c>
      <c r="C26" s="46"/>
      <c r="D26" s="46"/>
      <c r="E26" s="46"/>
      <c r="F26" s="31">
        <f t="shared" si="1"/>
        <v>37229.174384</v>
      </c>
      <c r="G26" s="30">
        <f>((500-0)*0.35%+(1000-500)*0.32%+(G6/10000-1000)*0.24%)*10000</f>
        <v>37229.174384</v>
      </c>
      <c r="H26" s="47"/>
      <c r="I26" s="47"/>
      <c r="J26" s="73"/>
      <c r="K26" s="46"/>
      <c r="L26" s="62">
        <f t="shared" si="0"/>
        <v>0.00262759754622788</v>
      </c>
      <c r="M26" s="70" t="s">
        <v>51</v>
      </c>
    </row>
    <row r="27" ht="51" customHeight="1" spans="1:13">
      <c r="A27" s="41" t="s">
        <v>56</v>
      </c>
      <c r="B27" s="42" t="s">
        <v>57</v>
      </c>
      <c r="C27" s="46"/>
      <c r="D27" s="46"/>
      <c r="E27" s="46"/>
      <c r="F27" s="31">
        <f t="shared" si="1"/>
        <v>37229.174384</v>
      </c>
      <c r="G27" s="30">
        <f>((500-0)*0.35%+(1000-500)*0.32%+(G6/10000-1000)*0.24%)*10000</f>
        <v>37229.174384</v>
      </c>
      <c r="H27" s="47"/>
      <c r="I27" s="47"/>
      <c r="J27" s="73"/>
      <c r="K27" s="46"/>
      <c r="L27" s="62">
        <f t="shared" si="0"/>
        <v>0.00262759754622788</v>
      </c>
      <c r="M27" s="70" t="s">
        <v>51</v>
      </c>
    </row>
    <row r="28" ht="51" customHeight="1" spans="1:13">
      <c r="A28" s="41" t="s">
        <v>58</v>
      </c>
      <c r="B28" s="42" t="s">
        <v>59</v>
      </c>
      <c r="C28" s="46"/>
      <c r="D28" s="46"/>
      <c r="E28" s="46"/>
      <c r="F28" s="31">
        <f t="shared" si="1"/>
        <v>108430.58128</v>
      </c>
      <c r="G28" s="30">
        <f>((500-0)*1.04%+(1000-500)*0.88%+(G6/10000-1000)*0.8%)*10000</f>
        <v>108430.58128</v>
      </c>
      <c r="H28" s="47"/>
      <c r="I28" s="47"/>
      <c r="J28" s="73"/>
      <c r="K28" s="46"/>
      <c r="L28" s="62">
        <f t="shared" si="0"/>
        <v>0.00765292096914824</v>
      </c>
      <c r="M28" s="70" t="s">
        <v>51</v>
      </c>
    </row>
    <row r="29" ht="51" customHeight="1" spans="1:13">
      <c r="A29" s="41" t="s">
        <v>60</v>
      </c>
      <c r="B29" s="42" t="s">
        <v>61</v>
      </c>
      <c r="C29" s="46"/>
      <c r="D29" s="46"/>
      <c r="E29" s="46"/>
      <c r="F29" s="31">
        <f t="shared" si="1"/>
        <v>58292.981773</v>
      </c>
      <c r="G29" s="30">
        <f>((500-0)*0.56%+(1000-500)*0.48%+(G6/10000-1000)*0.405%)*10000</f>
        <v>58292.981773</v>
      </c>
      <c r="H29" s="47"/>
      <c r="I29" s="47"/>
      <c r="J29" s="73"/>
      <c r="K29" s="46"/>
      <c r="L29" s="62">
        <f t="shared" si="0"/>
        <v>0.0041142598084278</v>
      </c>
      <c r="M29" s="72" t="s">
        <v>62</v>
      </c>
    </row>
    <row r="30" ht="45" customHeight="1" spans="1:13">
      <c r="A30" s="41">
        <v>2.12</v>
      </c>
      <c r="B30" s="42" t="s">
        <v>63</v>
      </c>
      <c r="C30" s="46"/>
      <c r="D30" s="46"/>
      <c r="E30" s="46"/>
      <c r="F30" s="31">
        <f t="shared" si="1"/>
        <v>34661.46798</v>
      </c>
      <c r="G30" s="31">
        <f>(G6*0.3/100)</f>
        <v>34661.46798</v>
      </c>
      <c r="H30" s="47"/>
      <c r="I30" s="47"/>
      <c r="J30" s="73"/>
      <c r="K30" s="46"/>
      <c r="L30" s="62">
        <f t="shared" si="0"/>
        <v>0.00244637142026029</v>
      </c>
      <c r="M30" s="70" t="s">
        <v>64</v>
      </c>
    </row>
    <row r="31" ht="41" customHeight="1" spans="1:13">
      <c r="A31" s="41">
        <v>2.13</v>
      </c>
      <c r="B31" s="42" t="s">
        <v>65</v>
      </c>
      <c r="C31" s="46"/>
      <c r="D31" s="46"/>
      <c r="E31" s="46"/>
      <c r="F31" s="31">
        <f t="shared" si="1"/>
        <v>115538.2266</v>
      </c>
      <c r="G31" s="31">
        <f>(G6*1/100)</f>
        <v>115538.2266</v>
      </c>
      <c r="H31" s="47"/>
      <c r="I31" s="47"/>
      <c r="J31" s="73"/>
      <c r="K31" s="46"/>
      <c r="L31" s="62">
        <f t="shared" si="0"/>
        <v>0.00815457140086763</v>
      </c>
      <c r="M31" s="70" t="s">
        <v>66</v>
      </c>
    </row>
    <row r="32" customHeight="1" spans="1:13">
      <c r="A32" s="41">
        <v>2.14</v>
      </c>
      <c r="B32" s="42" t="s">
        <v>67</v>
      </c>
      <c r="C32" s="46"/>
      <c r="D32" s="46"/>
      <c r="E32" s="46"/>
      <c r="F32" s="31">
        <f t="shared" si="1"/>
        <v>20000</v>
      </c>
      <c r="G32" s="31">
        <v>20000</v>
      </c>
      <c r="H32" s="47"/>
      <c r="I32" s="47"/>
      <c r="J32" s="73"/>
      <c r="K32" s="46"/>
      <c r="L32" s="62">
        <f t="shared" si="0"/>
        <v>0.00141157981056767</v>
      </c>
      <c r="M32" s="72"/>
    </row>
    <row r="33" ht="25" customHeight="1" spans="1:13">
      <c r="A33" s="41">
        <v>2.15</v>
      </c>
      <c r="B33" s="42" t="s">
        <v>68</v>
      </c>
      <c r="C33" s="46"/>
      <c r="D33" s="46"/>
      <c r="E33" s="46"/>
      <c r="F33" s="31">
        <f t="shared" si="1"/>
        <v>42398.440394</v>
      </c>
      <c r="G33" s="31">
        <f>((2+(3.5-2)/(3000-0)*(G6/10000-0))*100%+(0.5+(1-0.5)/(3000-0)*(G6/10000-0))*100%+(0.35+(0.7-0.35)/(3000-0)*(G6/10000-0))*100%+(0.35+(0.7-0.35)/(3000-0)*(G6/10000-0))*100%)*10000</f>
        <v>42398.440394</v>
      </c>
      <c r="H33" s="47"/>
      <c r="I33" s="47"/>
      <c r="J33" s="73"/>
      <c r="K33" s="46"/>
      <c r="L33" s="62">
        <f t="shared" si="0"/>
        <v>0.00299243912298636</v>
      </c>
      <c r="M33" s="70" t="s">
        <v>51</v>
      </c>
    </row>
    <row r="34" s="9" customFormat="1" customHeight="1" spans="1:13">
      <c r="A34" s="41">
        <v>2.16</v>
      </c>
      <c r="B34" s="42" t="s">
        <v>69</v>
      </c>
      <c r="C34" s="48"/>
      <c r="D34" s="48"/>
      <c r="E34" s="48"/>
      <c r="F34" s="31">
        <f t="shared" si="1"/>
        <v>50000</v>
      </c>
      <c r="G34" s="31">
        <v>50000</v>
      </c>
      <c r="H34" s="28"/>
      <c r="I34" s="57"/>
      <c r="J34" s="58"/>
      <c r="K34" s="59"/>
      <c r="L34" s="62">
        <f t="shared" si="0"/>
        <v>0.00352894952641918</v>
      </c>
      <c r="M34" s="72" t="s">
        <v>70</v>
      </c>
    </row>
    <row r="35" customHeight="1" spans="1:13">
      <c r="A35" s="41">
        <v>2.17</v>
      </c>
      <c r="B35" s="42" t="s">
        <v>71</v>
      </c>
      <c r="C35" s="46"/>
      <c r="D35" s="46"/>
      <c r="E35" s="46"/>
      <c r="F35" s="31">
        <f t="shared" si="1"/>
        <v>50000</v>
      </c>
      <c r="G35" s="31">
        <v>50000</v>
      </c>
      <c r="H35" s="47"/>
      <c r="I35" s="47"/>
      <c r="J35" s="73"/>
      <c r="K35" s="46"/>
      <c r="L35" s="62">
        <f t="shared" si="0"/>
        <v>0.00352894952641918</v>
      </c>
      <c r="M35" s="72" t="s">
        <v>72</v>
      </c>
    </row>
    <row r="36" customHeight="1" spans="1:13">
      <c r="A36" s="41">
        <v>2.18</v>
      </c>
      <c r="B36" s="42" t="s">
        <v>73</v>
      </c>
      <c r="C36" s="46"/>
      <c r="D36" s="46"/>
      <c r="E36" s="46"/>
      <c r="F36" s="31">
        <f t="shared" si="1"/>
        <v>0</v>
      </c>
      <c r="G36" s="31">
        <f>(G19*0.2)</f>
        <v>0</v>
      </c>
      <c r="H36" s="28"/>
      <c r="I36" s="57"/>
      <c r="J36" s="58"/>
      <c r="K36" s="59"/>
      <c r="L36" s="62">
        <f t="shared" si="0"/>
        <v>0</v>
      </c>
      <c r="M36" s="72"/>
    </row>
    <row r="37" ht="14.25" spans="1:13">
      <c r="A37" s="41">
        <v>2.19</v>
      </c>
      <c r="B37" s="42" t="s">
        <v>74</v>
      </c>
      <c r="C37" s="46"/>
      <c r="D37" s="46"/>
      <c r="E37" s="46"/>
      <c r="F37" s="31">
        <f t="shared" si="1"/>
        <v>0</v>
      </c>
      <c r="G37" s="31">
        <f>(G19*0.3*1.5)</f>
        <v>0</v>
      </c>
      <c r="H37" s="28"/>
      <c r="I37" s="57"/>
      <c r="J37" s="58"/>
      <c r="K37" s="59"/>
      <c r="L37" s="62">
        <f t="shared" si="0"/>
        <v>0</v>
      </c>
      <c r="M37" s="70"/>
    </row>
    <row r="38" customHeight="1" spans="1:13">
      <c r="A38" s="45">
        <v>2.2</v>
      </c>
      <c r="B38" s="42" t="s">
        <v>75</v>
      </c>
      <c r="C38" s="46"/>
      <c r="D38" s="46"/>
      <c r="E38" s="46"/>
      <c r="F38" s="31">
        <f t="shared" si="1"/>
        <v>50000</v>
      </c>
      <c r="G38" s="31">
        <v>50000</v>
      </c>
      <c r="H38" s="47"/>
      <c r="I38" s="47"/>
      <c r="J38" s="73"/>
      <c r="K38" s="46"/>
      <c r="L38" s="62">
        <f t="shared" si="0"/>
        <v>0.00352894952641918</v>
      </c>
      <c r="M38" s="72" t="s">
        <v>70</v>
      </c>
    </row>
    <row r="39" s="9" customFormat="1" customHeight="1" spans="1:13">
      <c r="A39" s="36" t="s">
        <v>76</v>
      </c>
      <c r="B39" s="49" t="s">
        <v>77</v>
      </c>
      <c r="C39" s="48"/>
      <c r="D39" s="48"/>
      <c r="E39" s="48"/>
      <c r="F39" s="38"/>
      <c r="G39" s="38">
        <f>(G6+G10)*5/100</f>
        <v>674691.537276911</v>
      </c>
      <c r="H39" s="28"/>
      <c r="I39" s="57"/>
      <c r="J39" s="58"/>
      <c r="K39" s="35"/>
      <c r="L39" s="60">
        <f t="shared" si="0"/>
        <v>0.0476190476190476</v>
      </c>
      <c r="M39" s="74" t="s">
        <v>78</v>
      </c>
    </row>
    <row r="40" s="9" customFormat="1" customHeight="1" spans="1:13">
      <c r="A40" s="36" t="s">
        <v>79</v>
      </c>
      <c r="B40" s="50" t="s">
        <v>80</v>
      </c>
      <c r="C40" s="48"/>
      <c r="D40" s="48"/>
      <c r="E40" s="48"/>
      <c r="F40" s="38"/>
      <c r="G40" s="38">
        <f>(F40/10000)*10000</f>
        <v>0</v>
      </c>
      <c r="H40" s="28"/>
      <c r="I40" s="57"/>
      <c r="J40" s="58"/>
      <c r="K40" s="59"/>
      <c r="L40" s="60">
        <f t="shared" si="0"/>
        <v>0</v>
      </c>
      <c r="M40" s="65"/>
    </row>
    <row r="41" s="9" customFormat="1" customHeight="1" spans="1:13">
      <c r="A41" s="36" t="s">
        <v>81</v>
      </c>
      <c r="B41" s="50" t="s">
        <v>82</v>
      </c>
      <c r="C41" s="48"/>
      <c r="D41" s="48"/>
      <c r="E41" s="48"/>
      <c r="F41" s="38"/>
      <c r="G41" s="38">
        <f>(G39+G13+G6)</f>
        <v>14168522.2828151</v>
      </c>
      <c r="H41" s="28" t="s">
        <v>21</v>
      </c>
      <c r="I41" s="57" t="s">
        <v>22</v>
      </c>
      <c r="J41" s="58">
        <v>1070.1</v>
      </c>
      <c r="K41" s="59">
        <f>G41/J41</f>
        <v>13240.3721921457</v>
      </c>
      <c r="L41" s="60">
        <f t="shared" si="0"/>
        <v>1</v>
      </c>
      <c r="M41" s="65"/>
    </row>
    <row r="42" customHeight="1" spans="13:13">
      <c r="M42" s="75"/>
    </row>
  </sheetData>
  <mergeCells count="8">
    <mergeCell ref="A2:M2"/>
    <mergeCell ref="A3:M3"/>
    <mergeCell ref="C4:G4"/>
    <mergeCell ref="H4:K4"/>
    <mergeCell ref="A4:A5"/>
    <mergeCell ref="B4:B5"/>
    <mergeCell ref="L4:L5"/>
    <mergeCell ref="M4:M5"/>
  </mergeCells>
  <printOptions horizontalCentered="1"/>
  <pageMargins left="0.393055555555556" right="0.393055555555556" top="0.511805555555556" bottom="0.511805555555556" header="0.313888888888889" footer="0.313888888888889"/>
  <pageSetup paperSize="9" scale="72" orientation="landscape"/>
  <headerFooter>
    <oddFooter>&amp;C第 &amp;P 页，共 &amp;N 页</oddFooter>
  </headerFooter>
  <ignoredErrors>
    <ignoredError sqref="K6:K38 K40:K4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8"/>
  <sheetViews>
    <sheetView workbookViewId="0">
      <selection activeCell="M30" sqref="M30"/>
    </sheetView>
  </sheetViews>
  <sheetFormatPr defaultColWidth="8.8" defaultRowHeight="14.25" outlineLevelRow="7" outlineLevelCol="7"/>
  <cols>
    <col min="5" max="7" width="9.9"/>
    <col min="8" max="8" width="16.5"/>
  </cols>
  <sheetData>
    <row r="2" ht="15"/>
    <row r="3" ht="75.75" spans="3:8">
      <c r="C3" s="4" t="s">
        <v>3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</row>
    <row r="4" ht="38.25" spans="3:8">
      <c r="C4" s="5">
        <v>1</v>
      </c>
      <c r="D4" s="5" t="s">
        <v>20</v>
      </c>
      <c r="E4" s="5" t="e">
        <f>#REF!</f>
        <v>#REF!</v>
      </c>
      <c r="F4" s="5" t="e">
        <f>#REF!</f>
        <v>#REF!</v>
      </c>
      <c r="G4" s="5" t="e">
        <f>F4-E4</f>
        <v>#REF!</v>
      </c>
      <c r="H4" s="6" t="e">
        <f>G4/E4</f>
        <v>#REF!</v>
      </c>
    </row>
    <row r="5" ht="19.5" spans="3:8">
      <c r="C5" s="5">
        <v>2</v>
      </c>
      <c r="D5" s="5" t="s">
        <v>88</v>
      </c>
      <c r="E5" s="5" t="e">
        <f>#REF!</f>
        <v>#REF!</v>
      </c>
      <c r="F5" s="5" t="e">
        <f>#REF!</f>
        <v>#REF!</v>
      </c>
      <c r="G5" s="5" t="e">
        <f>F5-E5</f>
        <v>#REF!</v>
      </c>
      <c r="H5" s="6" t="e">
        <f>G5/E5</f>
        <v>#REF!</v>
      </c>
    </row>
    <row r="6" ht="19.5" spans="3:8">
      <c r="C6" s="5">
        <v>3</v>
      </c>
      <c r="D6" s="5" t="s">
        <v>89</v>
      </c>
      <c r="E6" s="5" t="e">
        <f>#REF!</f>
        <v>#REF!</v>
      </c>
      <c r="F6" s="5" t="e">
        <f>#REF!</f>
        <v>#REF!</v>
      </c>
      <c r="G6" s="5" t="e">
        <f>F6-E6</f>
        <v>#REF!</v>
      </c>
      <c r="H6" s="6" t="e">
        <f>G6/E6</f>
        <v>#REF!</v>
      </c>
    </row>
    <row r="7" ht="38.25" spans="3:8">
      <c r="C7" s="5">
        <v>4</v>
      </c>
      <c r="D7" s="5" t="s">
        <v>90</v>
      </c>
      <c r="E7" s="7" t="e">
        <f>#REF!</f>
        <v>#REF!</v>
      </c>
      <c r="F7" s="7" t="e">
        <f>#REF!</f>
        <v>#REF!</v>
      </c>
      <c r="G7" s="5" t="e">
        <f>F7-E7</f>
        <v>#REF!</v>
      </c>
      <c r="H7" s="6" t="e">
        <f>G7/E7</f>
        <v>#REF!</v>
      </c>
    </row>
    <row r="8" ht="19.5" spans="3:8">
      <c r="C8" s="5">
        <v>5</v>
      </c>
      <c r="D8" s="5" t="s">
        <v>14</v>
      </c>
      <c r="E8" s="7" t="e">
        <f>#REF!</f>
        <v>#REF!</v>
      </c>
      <c r="F8" s="7" t="e">
        <f>#REF!</f>
        <v>#REF!</v>
      </c>
      <c r="G8" s="5" t="e">
        <f>F8-E8</f>
        <v>#REF!</v>
      </c>
      <c r="H8" s="6" t="e">
        <f>G8/E8</f>
        <v>#REF!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H10"/>
  <sheetViews>
    <sheetView workbookViewId="0">
      <selection activeCell="M30" sqref="M30"/>
    </sheetView>
  </sheetViews>
  <sheetFormatPr defaultColWidth="8.8" defaultRowHeight="14.25" outlineLevelCol="7"/>
  <cols>
    <col min="5" max="5" width="15.2"/>
  </cols>
  <sheetData>
    <row r="4" ht="15"/>
    <row r="5" ht="38.25" spans="3:8">
      <c r="C5" s="1" t="s">
        <v>3</v>
      </c>
      <c r="D5" s="1" t="s">
        <v>83</v>
      </c>
      <c r="E5" s="1" t="s">
        <v>84</v>
      </c>
      <c r="F5" s="1" t="s">
        <v>85</v>
      </c>
      <c r="G5" s="1" t="s">
        <v>91</v>
      </c>
      <c r="H5" s="1" t="s">
        <v>92</v>
      </c>
    </row>
    <row r="6" ht="38.25" spans="3:8">
      <c r="C6" s="2">
        <v>1</v>
      </c>
      <c r="D6" s="2" t="s">
        <v>20</v>
      </c>
      <c r="E6" s="2" t="e">
        <f>#REF!</f>
        <v>#REF!</v>
      </c>
      <c r="F6" s="2" t="e">
        <f>#REF!</f>
        <v>#REF!</v>
      </c>
      <c r="G6" s="2" t="e">
        <f t="shared" ref="G6:G10" si="0">F6-E6</f>
        <v>#REF!</v>
      </c>
      <c r="H6" s="3" t="e">
        <f t="shared" ref="H6:H8" si="1">G6/E6</f>
        <v>#REF!</v>
      </c>
    </row>
    <row r="7" ht="38.25" spans="3:8">
      <c r="C7" s="2">
        <v>2</v>
      </c>
      <c r="D7" s="2" t="s">
        <v>93</v>
      </c>
      <c r="E7" s="2">
        <v>272.7</v>
      </c>
      <c r="F7" s="2" t="e">
        <f>#REF!</f>
        <v>#REF!</v>
      </c>
      <c r="G7" s="2" t="e">
        <f t="shared" si="0"/>
        <v>#REF!</v>
      </c>
      <c r="H7" s="3" t="e">
        <f t="shared" si="1"/>
        <v>#REF!</v>
      </c>
    </row>
    <row r="8" ht="19.5" spans="3:8">
      <c r="C8" s="2">
        <v>3</v>
      </c>
      <c r="D8" s="2" t="s">
        <v>89</v>
      </c>
      <c r="E8" s="2" t="e">
        <f>#REF!</f>
        <v>#REF!</v>
      </c>
      <c r="F8" s="2" t="e">
        <f>#REF!</f>
        <v>#REF!</v>
      </c>
      <c r="G8" s="2" t="e">
        <f t="shared" si="0"/>
        <v>#REF!</v>
      </c>
      <c r="H8" s="3" t="e">
        <f t="shared" si="1"/>
        <v>#REF!</v>
      </c>
    </row>
    <row r="9" ht="38.25" spans="3:8">
      <c r="C9" s="2">
        <v>4</v>
      </c>
      <c r="D9" s="2" t="s">
        <v>94</v>
      </c>
      <c r="E9" s="2">
        <v>0</v>
      </c>
      <c r="F9" s="2">
        <v>0</v>
      </c>
      <c r="G9" s="2">
        <v>0</v>
      </c>
      <c r="H9" s="2" t="s">
        <v>95</v>
      </c>
    </row>
    <row r="10" ht="19.5" spans="3:8">
      <c r="C10" s="2">
        <v>5</v>
      </c>
      <c r="D10" s="2" t="s">
        <v>14</v>
      </c>
      <c r="E10" s="2">
        <v>3425.64</v>
      </c>
      <c r="F10" s="2" t="e">
        <f>#REF!</f>
        <v>#REF!</v>
      </c>
      <c r="G10" s="2" t="e">
        <f t="shared" si="0"/>
        <v>#REF!</v>
      </c>
      <c r="H10" s="3" t="e">
        <f>G10/E10</f>
        <v>#REF!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敏敏</dc:creator>
  <cp:lastModifiedBy>c</cp:lastModifiedBy>
  <dcterms:created xsi:type="dcterms:W3CDTF">2005-03-07T01:33:00Z</dcterms:created>
  <cp:lastPrinted>2018-04-28T04:38:00Z</cp:lastPrinted>
  <dcterms:modified xsi:type="dcterms:W3CDTF">2023-08-11T07:52:49Z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4BF50990AEE849738BC684AEE838C468_13</vt:lpwstr>
  </property>
  <property fmtid="{D5CDD505-2E9C-101B-9397-08002B2CF9AE}" pid="4" name="commondata">
    <vt:lpwstr>eyJoZGlkIjoiMDY2NWRkNmQwYzkwNzIzYmUyNzVlYzgzZmViOWJiZWUifQ==</vt:lpwstr>
  </property>
</Properties>
</file>