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Sheet1!$A$2:$K$79</definedName>
  </definedNames>
  <calcPr calcId="144525"/>
</workbook>
</file>

<file path=xl/sharedStrings.xml><?xml version="1.0" encoding="utf-8"?>
<sst xmlns="http://schemas.openxmlformats.org/spreadsheetml/2006/main" count="125" uniqueCount="120">
  <si>
    <t>附件1</t>
  </si>
  <si>
    <t>概算汇总表</t>
  </si>
  <si>
    <t>序号</t>
  </si>
  <si>
    <t>项目及费用名称</t>
  </si>
  <si>
    <t>送审概算（万元）</t>
  </si>
  <si>
    <t>建筑工程费</t>
  </si>
  <si>
    <t>其他费用</t>
  </si>
  <si>
    <t>合计</t>
  </si>
  <si>
    <t>审增减
金额
（万元）</t>
  </si>
  <si>
    <t>审增减率</t>
  </si>
  <si>
    <t>备注</t>
  </si>
  <si>
    <t>一</t>
  </si>
  <si>
    <t>工程费用</t>
  </si>
  <si>
    <t>如意花开</t>
  </si>
  <si>
    <r>
      <rPr>
        <sz val="11"/>
        <color indexed="8"/>
        <rFont val="仿宋"/>
        <charset val="134"/>
      </rPr>
      <t>市政部分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如意花开</t>
    </r>
  </si>
  <si>
    <t>如意花开市政道路电气工程</t>
  </si>
  <si>
    <t>如意花开市政道路给排水工程</t>
  </si>
  <si>
    <t>如意花开景观电气工程</t>
  </si>
  <si>
    <t>如意花开景观给排水工程</t>
  </si>
  <si>
    <t>如意花开游客中心室外给排水工程</t>
  </si>
  <si>
    <r>
      <rPr>
        <sz val="11"/>
        <color indexed="8"/>
        <rFont val="仿宋"/>
        <charset val="134"/>
      </rPr>
      <t>绿化部分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如意花开</t>
    </r>
  </si>
  <si>
    <t>道路工程</t>
  </si>
  <si>
    <t>交通标识</t>
  </si>
  <si>
    <t>1.10</t>
  </si>
  <si>
    <t>土石方工程</t>
  </si>
  <si>
    <t>建筑工程</t>
  </si>
  <si>
    <t>花卉餐厅</t>
  </si>
  <si>
    <r>
      <rPr>
        <sz val="11"/>
        <color indexed="8"/>
        <rFont val="仿宋"/>
        <charset val="134"/>
      </rPr>
      <t>建筑工程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花卉餐厅</t>
    </r>
  </si>
  <si>
    <t>花卉餐厅景观电气工程</t>
  </si>
  <si>
    <t>花卉餐厅景观给排水工程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</si>
  <si>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花卉餐厅</t>
    </r>
  </si>
  <si>
    <t>装饰工程</t>
  </si>
  <si>
    <t>土石方</t>
  </si>
  <si>
    <t>宝顶别院</t>
  </si>
  <si>
    <t>市政道路给排水工程</t>
  </si>
  <si>
    <r>
      <rPr>
        <sz val="11"/>
        <color theme="1"/>
        <rFont val="仿宋"/>
        <charset val="134"/>
      </rPr>
      <t>1#</t>
    </r>
    <r>
      <rPr>
        <sz val="11"/>
        <color indexed="8"/>
        <rFont val="仿宋"/>
        <charset val="134"/>
      </rPr>
      <t>综合楼</t>
    </r>
  </si>
  <si>
    <r>
      <rPr>
        <sz val="11"/>
        <color theme="1"/>
        <rFont val="仿宋"/>
        <charset val="134"/>
      </rPr>
      <t>2#</t>
    </r>
    <r>
      <rPr>
        <sz val="11"/>
        <color indexed="8"/>
        <rFont val="仿宋"/>
        <charset val="134"/>
      </rPr>
      <t>客房楼</t>
    </r>
  </si>
  <si>
    <r>
      <rPr>
        <sz val="11"/>
        <color theme="1"/>
        <rFont val="仿宋"/>
        <charset val="134"/>
      </rPr>
      <t>3#</t>
    </r>
    <r>
      <rPr>
        <sz val="11"/>
        <color indexed="8"/>
        <rFont val="仿宋"/>
        <charset val="134"/>
      </rPr>
      <t>后勤用房</t>
    </r>
  </si>
  <si>
    <r>
      <rPr>
        <sz val="11"/>
        <color theme="1"/>
        <rFont val="仿宋"/>
        <charset val="134"/>
      </rPr>
      <t>4#</t>
    </r>
    <r>
      <rPr>
        <sz val="11"/>
        <color indexed="8"/>
        <rFont val="仿宋"/>
        <charset val="134"/>
      </rPr>
      <t>接待大堂</t>
    </r>
  </si>
  <si>
    <r>
      <rPr>
        <sz val="11"/>
        <color theme="1"/>
        <rFont val="仿宋"/>
        <charset val="134"/>
      </rPr>
      <t>5#</t>
    </r>
    <r>
      <rPr>
        <sz val="11"/>
        <color indexed="8"/>
        <rFont val="仿宋"/>
        <charset val="134"/>
      </rPr>
      <t>别院套房</t>
    </r>
  </si>
  <si>
    <r>
      <rPr>
        <sz val="11"/>
        <color theme="1"/>
        <rFont val="仿宋"/>
        <charset val="134"/>
      </rPr>
      <t>6#</t>
    </r>
    <r>
      <rPr>
        <sz val="11"/>
        <color indexed="8"/>
        <rFont val="仿宋"/>
        <charset val="134"/>
      </rPr>
      <t>别院</t>
    </r>
  </si>
  <si>
    <r>
      <rPr>
        <sz val="11"/>
        <color theme="1"/>
        <rFont val="仿宋"/>
        <charset val="134"/>
      </rPr>
      <t>7#</t>
    </r>
    <r>
      <rPr>
        <sz val="11"/>
        <color indexed="8"/>
        <rFont val="仿宋"/>
        <charset val="134"/>
      </rPr>
      <t>观景平台</t>
    </r>
  </si>
  <si>
    <t>宝顶别院景观电气工程（改）</t>
  </si>
  <si>
    <t>3.10</t>
  </si>
  <si>
    <t>宝顶别院景观给排水工程</t>
  </si>
  <si>
    <t>3.11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</si>
  <si>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宝顶别院</t>
    </r>
  </si>
  <si>
    <r>
      <rPr>
        <sz val="11"/>
        <color theme="1"/>
        <rFont val="仿宋"/>
        <charset val="134"/>
      </rPr>
      <t>1#-7#</t>
    </r>
    <r>
      <rPr>
        <sz val="11"/>
        <color indexed="8"/>
        <rFont val="仿宋"/>
        <charset val="134"/>
      </rPr>
      <t>装饰工程</t>
    </r>
  </si>
  <si>
    <t>二环南路东段陈鲫鱼至山湾时光崖壁段景观</t>
  </si>
  <si>
    <r>
      <rPr>
        <sz val="11"/>
        <color indexed="8"/>
        <rFont val="仿宋"/>
        <charset val="134"/>
      </rPr>
      <t>市政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陈鲫鱼</t>
    </r>
  </si>
  <si>
    <t>二环南路东段陈鲫鱼至山湾时光崖壁段景观电气工程</t>
  </si>
  <si>
    <t>二环南路东段陈鲫鱼至山湾时光崖壁段景观给排水工程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</si>
  <si>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陈鲫鱼</t>
    </r>
  </si>
  <si>
    <t>二</t>
  </si>
  <si>
    <t>工程建设其它费用</t>
  </si>
  <si>
    <t>（一）</t>
  </si>
  <si>
    <t>技术咨询费用</t>
  </si>
  <si>
    <t>可行性研究报告编制</t>
  </si>
  <si>
    <t>根据合同金额计算</t>
  </si>
  <si>
    <t>评估可行性研究报告</t>
  </si>
  <si>
    <t>按发改价格〔2015〕299号文并结合渝价〔2013〕430号文计取</t>
  </si>
  <si>
    <t>工程勘察设计费</t>
  </si>
  <si>
    <t>工程勘察费</t>
  </si>
  <si>
    <t>根据建设单位提供的合同计取</t>
  </si>
  <si>
    <t>勘察成果审查费</t>
  </si>
  <si>
    <t>渝价【2013】423号文计算</t>
  </si>
  <si>
    <t>设计费（含方案及初设）</t>
  </si>
  <si>
    <t>方案及初设费用按照合同金额98万计取；施工图设计费用参照计价格[2002]10号文，按照55%计取。</t>
  </si>
  <si>
    <t>施工图审查费</t>
  </si>
  <si>
    <t>按渝价〔2013〕423号文计取</t>
  </si>
  <si>
    <t>招标代理费</t>
  </si>
  <si>
    <t>工程招标代理费</t>
  </si>
  <si>
    <t>按计价格〔2002〕1980号文计取</t>
  </si>
  <si>
    <t>跟审招标代理费</t>
  </si>
  <si>
    <t>监理招标代理费</t>
  </si>
  <si>
    <t>工程造价咨询费</t>
  </si>
  <si>
    <t>概算编制费</t>
  </si>
  <si>
    <t>概算审核费</t>
  </si>
  <si>
    <t>工程量清单及组价编制费</t>
  </si>
  <si>
    <t>工程量清单施工阶段工程造价全过程控制费</t>
  </si>
  <si>
    <t>按渝价〔2013〕428号文计取</t>
  </si>
  <si>
    <t>工程量清单结算审核费</t>
  </si>
  <si>
    <t>按渝价〔2013〕428号文计取,审减率按5%暂计</t>
  </si>
  <si>
    <t>财务决算费用</t>
  </si>
  <si>
    <t>参照渝价[2011]257号文计算</t>
  </si>
  <si>
    <t>工程监理费</t>
  </si>
  <si>
    <t>按发改价格〔2015〕299号文并结合发改价格〔2007〕670号文计取</t>
  </si>
  <si>
    <t>环境影响评价费</t>
  </si>
  <si>
    <t>按发改价格〔2015〕299号文并结合计价格[2002]125号计取</t>
  </si>
  <si>
    <t>地质灾害危险性评估费</t>
  </si>
  <si>
    <t>工程费*0.1%</t>
  </si>
  <si>
    <t>劳动安全卫生评审费</t>
  </si>
  <si>
    <t>水土保持补偿费</t>
  </si>
  <si>
    <t>工程费*0.2%</t>
  </si>
  <si>
    <t>开办费</t>
  </si>
  <si>
    <t>按建筑面积600元/平方米暂估</t>
  </si>
  <si>
    <t>（二）</t>
  </si>
  <si>
    <t>工程建设管理费</t>
  </si>
  <si>
    <t>建设单位管理费</t>
  </si>
  <si>
    <t>按财建〔2016〕504号文计取</t>
  </si>
  <si>
    <t>建设工程交易综合服务费</t>
  </si>
  <si>
    <t>按渝价[2018]54号文计取</t>
  </si>
  <si>
    <t>（三）</t>
  </si>
  <si>
    <t>场地准备及临时设施费</t>
  </si>
  <si>
    <t>工程费*0.5%</t>
  </si>
  <si>
    <t>工程保险费</t>
  </si>
  <si>
    <t>工程费*0.3%</t>
  </si>
  <si>
    <t>小市政内燃气管道及开通</t>
  </si>
  <si>
    <t>暂估</t>
  </si>
  <si>
    <t>三</t>
  </si>
  <si>
    <t>预备费用</t>
  </si>
  <si>
    <t>基本预备费</t>
  </si>
  <si>
    <t>（一+二）*5%</t>
  </si>
  <si>
    <t>四</t>
  </si>
  <si>
    <t>建设期贷款利息</t>
  </si>
  <si>
    <t>申请15年期银行贷款22500万元，贷款利率4.90%</t>
  </si>
  <si>
    <t>五</t>
  </si>
  <si>
    <t>项目总投资</t>
  </si>
  <si>
    <t>一二+三+四</t>
  </si>
  <si>
    <t>可研金额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</si>
</sst>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name val="仿宋"/>
      <charset val="134"/>
    </font>
    <font>
      <b/>
      <sz val="11"/>
      <name val="仿宋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/>
    <xf numFmtId="0" fontId="20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6" fillId="0" borderId="1" xfId="1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0" borderId="1" xfId="19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蔡家组团L、R标准分区道路工程横二路R区段概算总表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topLeftCell="A62" workbookViewId="0">
      <selection activeCell="G23" sqref="G23"/>
    </sheetView>
  </sheetViews>
  <sheetFormatPr defaultColWidth="9" defaultRowHeight="29" customHeight="1"/>
  <cols>
    <col min="1" max="1" width="7" style="2" customWidth="1"/>
    <col min="2" max="2" width="34.25" style="3" customWidth="1"/>
    <col min="3" max="3" width="12.25" style="4" hidden="1" customWidth="1"/>
    <col min="4" max="5" width="11.625" style="4" hidden="1" customWidth="1"/>
    <col min="6" max="6" width="24.625" style="4" customWidth="1"/>
    <col min="7" max="7" width="18.375" style="4" customWidth="1"/>
    <col min="8" max="8" width="24.375" style="4" customWidth="1"/>
    <col min="9" max="9" width="10.375" style="4" hidden="1" customWidth="1"/>
    <col min="10" max="10" width="9.875" style="5" hidden="1" customWidth="1"/>
    <col min="11" max="11" width="60.625" style="3" customWidth="1"/>
    <col min="12" max="16384" width="9" style="2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6" customHeight="1" spans="1:11">
      <c r="A2" s="7" t="s">
        <v>1</v>
      </c>
      <c r="B2" s="8"/>
      <c r="C2" s="9"/>
      <c r="D2" s="9"/>
      <c r="E2" s="10"/>
      <c r="F2" s="9"/>
      <c r="G2" s="9"/>
      <c r="H2" s="9"/>
      <c r="I2" s="9"/>
      <c r="J2" s="28"/>
      <c r="K2" s="29"/>
    </row>
    <row r="3" ht="51" customHeight="1" spans="1:11">
      <c r="A3" s="11" t="s">
        <v>2</v>
      </c>
      <c r="B3" s="12" t="s">
        <v>3</v>
      </c>
      <c r="C3" s="13" t="s">
        <v>4</v>
      </c>
      <c r="D3" s="13"/>
      <c r="E3" s="14"/>
      <c r="F3" s="15" t="s">
        <v>5</v>
      </c>
      <c r="G3" s="15" t="s">
        <v>6</v>
      </c>
      <c r="H3" s="15" t="s">
        <v>7</v>
      </c>
      <c r="I3" s="30" t="s">
        <v>8</v>
      </c>
      <c r="J3" s="31" t="s">
        <v>9</v>
      </c>
      <c r="K3" s="30" t="s">
        <v>10</v>
      </c>
    </row>
    <row r="4" s="1" customFormat="1" customHeight="1" spans="1:11">
      <c r="A4" s="16" t="s">
        <v>11</v>
      </c>
      <c r="B4" s="17" t="s">
        <v>12</v>
      </c>
      <c r="C4" s="18">
        <f>C5+C17+C24+C37</f>
        <v>20475.792689</v>
      </c>
      <c r="D4" s="19"/>
      <c r="E4" s="19">
        <f>+C4+D4</f>
        <v>20475.792689</v>
      </c>
      <c r="F4" s="20">
        <f>F5+F17+F24+F37</f>
        <v>17969.440292</v>
      </c>
      <c r="G4" s="19"/>
      <c r="H4" s="19">
        <f>+F4+G4</f>
        <v>17969.440292</v>
      </c>
      <c r="I4" s="19">
        <f>H4-E4</f>
        <v>-2506.352397</v>
      </c>
      <c r="J4" s="32">
        <f>I4/E4</f>
        <v>-0.122405634549448</v>
      </c>
      <c r="K4" s="33"/>
    </row>
    <row r="5" s="1" customFormat="1" customHeight="1" spans="1:11">
      <c r="A5" s="16">
        <v>1</v>
      </c>
      <c r="B5" s="21" t="s">
        <v>13</v>
      </c>
      <c r="C5" s="18">
        <v>13271.012341</v>
      </c>
      <c r="D5" s="19"/>
      <c r="E5" s="19">
        <f>+C5+D5</f>
        <v>13271.012341</v>
      </c>
      <c r="F5" s="20">
        <f>SUM(F6:F16)</f>
        <v>11896.732808</v>
      </c>
      <c r="G5" s="19"/>
      <c r="H5" s="19">
        <f>+F5+G5</f>
        <v>11896.732808</v>
      </c>
      <c r="I5" s="19">
        <f>H5-E5</f>
        <v>-1374.279533</v>
      </c>
      <c r="J5" s="32">
        <f>I5/E5</f>
        <v>-0.10355498869926</v>
      </c>
      <c r="K5" s="33"/>
    </row>
    <row r="6" s="1" customFormat="1" customHeight="1" spans="1:11">
      <c r="A6" s="22">
        <v>1.1</v>
      </c>
      <c r="B6" s="21" t="s">
        <v>14</v>
      </c>
      <c r="C6" s="18">
        <v>6090.148369</v>
      </c>
      <c r="D6" s="19"/>
      <c r="E6" s="18">
        <f t="shared" ref="E6:E54" si="0">+C6+D6</f>
        <v>6090.148369</v>
      </c>
      <c r="F6" s="18">
        <v>5092.72961</v>
      </c>
      <c r="G6" s="19"/>
      <c r="H6" s="18">
        <f t="shared" ref="H6:H41" si="1">+F6+G6</f>
        <v>5092.72961</v>
      </c>
      <c r="I6" s="18">
        <f t="shared" ref="I6:I44" si="2">H6-E6</f>
        <v>-997.418758999999</v>
      </c>
      <c r="J6" s="34">
        <f t="shared" ref="J6:J44" si="3">I6/E6</f>
        <v>-0.163775773358339</v>
      </c>
      <c r="K6" s="33"/>
    </row>
    <row r="7" s="1" customFormat="1" customHeight="1" spans="1:11">
      <c r="A7" s="22">
        <v>1.2</v>
      </c>
      <c r="B7" s="21" t="s">
        <v>15</v>
      </c>
      <c r="C7" s="18">
        <v>476.608399</v>
      </c>
      <c r="D7" s="19"/>
      <c r="E7" s="18">
        <f t="shared" si="0"/>
        <v>476.608399</v>
      </c>
      <c r="F7" s="18">
        <v>443.966426</v>
      </c>
      <c r="G7" s="19"/>
      <c r="H7" s="18">
        <f t="shared" si="1"/>
        <v>443.966426</v>
      </c>
      <c r="I7" s="18">
        <f t="shared" si="2"/>
        <v>-32.6419730000001</v>
      </c>
      <c r="J7" s="34">
        <f t="shared" si="3"/>
        <v>-0.0684880356042573</v>
      </c>
      <c r="K7" s="33"/>
    </row>
    <row r="8" s="1" customFormat="1" customHeight="1" spans="1:11">
      <c r="A8" s="22">
        <v>1.3</v>
      </c>
      <c r="B8" s="21" t="s">
        <v>16</v>
      </c>
      <c r="C8" s="18">
        <v>93.366885</v>
      </c>
      <c r="D8" s="19"/>
      <c r="E8" s="18">
        <f t="shared" si="0"/>
        <v>93.366885</v>
      </c>
      <c r="F8" s="18">
        <v>92.445867</v>
      </c>
      <c r="G8" s="19"/>
      <c r="H8" s="18">
        <f t="shared" si="1"/>
        <v>92.445867</v>
      </c>
      <c r="I8" s="18">
        <f t="shared" si="2"/>
        <v>-0.921017999999989</v>
      </c>
      <c r="J8" s="34">
        <f t="shared" si="3"/>
        <v>-0.00986450388700436</v>
      </c>
      <c r="K8" s="35"/>
    </row>
    <row r="9" s="1" customFormat="1" customHeight="1" spans="1:11">
      <c r="A9" s="22">
        <v>1.4</v>
      </c>
      <c r="B9" s="21" t="s">
        <v>17</v>
      </c>
      <c r="C9" s="18">
        <v>658.333997</v>
      </c>
      <c r="D9" s="19"/>
      <c r="E9" s="18">
        <f t="shared" si="0"/>
        <v>658.333997</v>
      </c>
      <c r="F9" s="18">
        <v>637.867925</v>
      </c>
      <c r="G9" s="19"/>
      <c r="H9" s="18">
        <f t="shared" si="1"/>
        <v>637.867925</v>
      </c>
      <c r="I9" s="18">
        <f t="shared" si="2"/>
        <v>-20.4660719999999</v>
      </c>
      <c r="J9" s="34">
        <f t="shared" si="3"/>
        <v>-0.0310876729642749</v>
      </c>
      <c r="K9" s="35"/>
    </row>
    <row r="10" s="1" customFormat="1" customHeight="1" spans="1:11">
      <c r="A10" s="22">
        <v>1.5</v>
      </c>
      <c r="B10" s="21" t="s">
        <v>18</v>
      </c>
      <c r="C10" s="18">
        <v>219.960898</v>
      </c>
      <c r="D10" s="19"/>
      <c r="E10" s="18">
        <f t="shared" si="0"/>
        <v>219.960898</v>
      </c>
      <c r="F10" s="18">
        <v>215.994133</v>
      </c>
      <c r="G10" s="19"/>
      <c r="H10" s="18">
        <f t="shared" si="1"/>
        <v>215.994133</v>
      </c>
      <c r="I10" s="18">
        <f t="shared" si="2"/>
        <v>-3.96676499999998</v>
      </c>
      <c r="J10" s="34">
        <f t="shared" si="3"/>
        <v>-0.0180339552896351</v>
      </c>
      <c r="K10" s="35"/>
    </row>
    <row r="11" s="1" customFormat="1" customHeight="1" spans="1:11">
      <c r="A11" s="22">
        <v>1.6</v>
      </c>
      <c r="B11" s="21" t="s">
        <v>19</v>
      </c>
      <c r="C11" s="18">
        <v>104.337222</v>
      </c>
      <c r="D11" s="19"/>
      <c r="E11" s="18">
        <f t="shared" si="0"/>
        <v>104.337222</v>
      </c>
      <c r="F11" s="18">
        <v>80.54787</v>
      </c>
      <c r="G11" s="19"/>
      <c r="H11" s="18">
        <f t="shared" si="1"/>
        <v>80.54787</v>
      </c>
      <c r="I11" s="18">
        <f t="shared" si="2"/>
        <v>-23.789352</v>
      </c>
      <c r="J11" s="34">
        <f t="shared" si="3"/>
        <v>-0.228004460383275</v>
      </c>
      <c r="K11" s="35"/>
    </row>
    <row r="12" s="1" customFormat="1" customHeight="1" spans="1:11">
      <c r="A12" s="22">
        <v>1.7</v>
      </c>
      <c r="B12" s="21" t="s">
        <v>20</v>
      </c>
      <c r="C12" s="18">
        <v>3649.909135</v>
      </c>
      <c r="D12" s="19"/>
      <c r="E12" s="18">
        <f t="shared" si="0"/>
        <v>3649.909135</v>
      </c>
      <c r="F12" s="18">
        <v>3666.528398</v>
      </c>
      <c r="G12" s="19"/>
      <c r="H12" s="18">
        <f t="shared" si="1"/>
        <v>3666.528398</v>
      </c>
      <c r="I12" s="18">
        <f t="shared" si="2"/>
        <v>16.6192629999996</v>
      </c>
      <c r="J12" s="34">
        <f t="shared" si="3"/>
        <v>0.00455333609284484</v>
      </c>
      <c r="K12" s="35"/>
    </row>
    <row r="13" s="1" customFormat="1" customHeight="1" spans="1:11">
      <c r="A13" s="22">
        <v>1.8</v>
      </c>
      <c r="B13" s="21" t="s">
        <v>21</v>
      </c>
      <c r="C13" s="18">
        <v>1007.062433</v>
      </c>
      <c r="D13" s="19"/>
      <c r="E13" s="18">
        <f t="shared" si="0"/>
        <v>1007.062433</v>
      </c>
      <c r="F13" s="18">
        <v>907.259735</v>
      </c>
      <c r="G13" s="19"/>
      <c r="H13" s="18">
        <f t="shared" si="1"/>
        <v>907.259735</v>
      </c>
      <c r="I13" s="18">
        <f t="shared" si="2"/>
        <v>-99.8026980000001</v>
      </c>
      <c r="J13" s="34">
        <f t="shared" si="3"/>
        <v>-0.0991027911771981</v>
      </c>
      <c r="K13" s="35"/>
    </row>
    <row r="14" s="1" customFormat="1" customHeight="1" spans="1:11">
      <c r="A14" s="22">
        <v>1.9</v>
      </c>
      <c r="B14" s="21" t="s">
        <v>22</v>
      </c>
      <c r="C14" s="18">
        <v>37.855764</v>
      </c>
      <c r="D14" s="19"/>
      <c r="E14" s="18">
        <f t="shared" si="0"/>
        <v>37.855764</v>
      </c>
      <c r="F14" s="18">
        <v>40.743373</v>
      </c>
      <c r="G14" s="19"/>
      <c r="H14" s="18">
        <f t="shared" si="1"/>
        <v>40.743373</v>
      </c>
      <c r="I14" s="18">
        <f t="shared" si="2"/>
        <v>2.887609</v>
      </c>
      <c r="J14" s="34">
        <f t="shared" si="3"/>
        <v>0.0762792424424454</v>
      </c>
      <c r="K14" s="35"/>
    </row>
    <row r="15" s="1" customFormat="1" customHeight="1" spans="1:11">
      <c r="A15" s="22" t="s">
        <v>23</v>
      </c>
      <c r="B15" s="21" t="s">
        <v>24</v>
      </c>
      <c r="C15" s="18">
        <v>705.496792</v>
      </c>
      <c r="D15" s="19"/>
      <c r="E15" s="18">
        <f t="shared" si="0"/>
        <v>705.496792</v>
      </c>
      <c r="F15" s="18">
        <v>531.595072</v>
      </c>
      <c r="G15" s="19"/>
      <c r="H15" s="18">
        <f t="shared" si="1"/>
        <v>531.595072</v>
      </c>
      <c r="I15" s="18">
        <f t="shared" si="2"/>
        <v>-173.90172</v>
      </c>
      <c r="J15" s="34">
        <f t="shared" si="3"/>
        <v>-0.246495408585784</v>
      </c>
      <c r="K15" s="33"/>
    </row>
    <row r="16" s="1" customFormat="1" customHeight="1" spans="1:11">
      <c r="A16" s="22">
        <v>1.11</v>
      </c>
      <c r="B16" s="21" t="s">
        <v>25</v>
      </c>
      <c r="C16" s="18">
        <v>227.932447</v>
      </c>
      <c r="D16" s="19"/>
      <c r="E16" s="18">
        <f t="shared" si="0"/>
        <v>227.932447</v>
      </c>
      <c r="F16" s="18">
        <v>187.054399</v>
      </c>
      <c r="G16" s="19"/>
      <c r="H16" s="18">
        <f t="shared" si="1"/>
        <v>187.054399</v>
      </c>
      <c r="I16" s="18">
        <f t="shared" si="2"/>
        <v>-40.878048</v>
      </c>
      <c r="J16" s="34">
        <f t="shared" si="3"/>
        <v>-0.179342820813923</v>
      </c>
      <c r="K16" s="33"/>
    </row>
    <row r="17" s="1" customFormat="1" customHeight="1" spans="1:11">
      <c r="A17" s="16">
        <v>2</v>
      </c>
      <c r="B17" s="21" t="s">
        <v>26</v>
      </c>
      <c r="C17" s="18">
        <v>1373.393444</v>
      </c>
      <c r="D17" s="19"/>
      <c r="E17" s="19">
        <f t="shared" si="0"/>
        <v>1373.393444</v>
      </c>
      <c r="F17" s="20">
        <f>SUM(F18:F23)</f>
        <v>1272.903549</v>
      </c>
      <c r="G17" s="19"/>
      <c r="H17" s="19">
        <f t="shared" si="1"/>
        <v>1272.903549</v>
      </c>
      <c r="I17" s="19">
        <f t="shared" si="2"/>
        <v>-100.489895</v>
      </c>
      <c r="J17" s="32">
        <f t="shared" si="3"/>
        <v>-0.0731690510385165</v>
      </c>
      <c r="K17" s="33"/>
    </row>
    <row r="18" s="1" customFormat="1" customHeight="1" spans="1:11">
      <c r="A18" s="22">
        <v>2.1</v>
      </c>
      <c r="B18" s="21" t="s">
        <v>27</v>
      </c>
      <c r="C18" s="18">
        <v>818.030504</v>
      </c>
      <c r="D18" s="19"/>
      <c r="E18" s="18">
        <f t="shared" si="0"/>
        <v>818.030504</v>
      </c>
      <c r="F18" s="23">
        <v>731.421262</v>
      </c>
      <c r="G18" s="19"/>
      <c r="H18" s="18">
        <f t="shared" si="1"/>
        <v>731.421262</v>
      </c>
      <c r="I18" s="18">
        <f t="shared" si="2"/>
        <v>-86.609242</v>
      </c>
      <c r="J18" s="34">
        <f t="shared" si="3"/>
        <v>-0.105875320756987</v>
      </c>
      <c r="K18" s="33"/>
    </row>
    <row r="19" s="1" customFormat="1" customHeight="1" spans="1:11">
      <c r="A19" s="22">
        <v>2.2</v>
      </c>
      <c r="B19" s="21" t="s">
        <v>28</v>
      </c>
      <c r="C19" s="18">
        <v>62.899787</v>
      </c>
      <c r="D19" s="19"/>
      <c r="E19" s="18">
        <f t="shared" si="0"/>
        <v>62.899787</v>
      </c>
      <c r="F19" s="23">
        <v>62.520891</v>
      </c>
      <c r="G19" s="19"/>
      <c r="H19" s="18">
        <f t="shared" si="1"/>
        <v>62.520891</v>
      </c>
      <c r="I19" s="18">
        <f t="shared" si="2"/>
        <v>-0.378895999999997</v>
      </c>
      <c r="J19" s="34">
        <f t="shared" si="3"/>
        <v>-0.00602380418235752</v>
      </c>
      <c r="K19" s="33"/>
    </row>
    <row r="20" s="1" customFormat="1" customHeight="1" spans="1:11">
      <c r="A20" s="22">
        <v>2.3</v>
      </c>
      <c r="B20" s="21" t="s">
        <v>29</v>
      </c>
      <c r="C20" s="18">
        <v>12.64064</v>
      </c>
      <c r="D20" s="19"/>
      <c r="E20" s="18">
        <f t="shared" si="0"/>
        <v>12.64064</v>
      </c>
      <c r="F20" s="23">
        <v>12.508563</v>
      </c>
      <c r="G20" s="19"/>
      <c r="H20" s="18">
        <f t="shared" si="1"/>
        <v>12.508563</v>
      </c>
      <c r="I20" s="18">
        <f t="shared" si="2"/>
        <v>-0.132076999999999</v>
      </c>
      <c r="J20" s="34">
        <f t="shared" si="3"/>
        <v>-0.0104486007037617</v>
      </c>
      <c r="K20" s="33"/>
    </row>
    <row r="21" s="1" customFormat="1" customHeight="1" spans="1:11">
      <c r="A21" s="22">
        <v>2.4</v>
      </c>
      <c r="B21" s="21" t="s">
        <v>30</v>
      </c>
      <c r="C21" s="18">
        <v>281.718152</v>
      </c>
      <c r="D21" s="19"/>
      <c r="E21" s="18">
        <f t="shared" si="0"/>
        <v>281.718152</v>
      </c>
      <c r="F21" s="23">
        <v>282.987674</v>
      </c>
      <c r="G21" s="19"/>
      <c r="H21" s="18">
        <f t="shared" si="1"/>
        <v>282.987674</v>
      </c>
      <c r="I21" s="18">
        <f t="shared" si="2"/>
        <v>1.26952200000005</v>
      </c>
      <c r="J21" s="34">
        <f t="shared" si="3"/>
        <v>0.00450635498986253</v>
      </c>
      <c r="K21" s="33"/>
    </row>
    <row r="22" s="1" customFormat="1" customHeight="1" spans="1:11">
      <c r="A22" s="22">
        <v>2.5</v>
      </c>
      <c r="B22" s="21" t="s">
        <v>31</v>
      </c>
      <c r="C22" s="18">
        <v>164.104993</v>
      </c>
      <c r="D22" s="19"/>
      <c r="E22" s="18">
        <f t="shared" si="0"/>
        <v>164.104993</v>
      </c>
      <c r="F22" s="23">
        <v>152.469932</v>
      </c>
      <c r="G22" s="19"/>
      <c r="H22" s="18">
        <f t="shared" si="1"/>
        <v>152.469932</v>
      </c>
      <c r="I22" s="18">
        <f t="shared" si="2"/>
        <v>-11.635061</v>
      </c>
      <c r="J22" s="34">
        <f t="shared" si="3"/>
        <v>-0.0709001035696702</v>
      </c>
      <c r="K22" s="33"/>
    </row>
    <row r="23" s="1" customFormat="1" customHeight="1" spans="1:11">
      <c r="A23" s="22">
        <v>2.6</v>
      </c>
      <c r="B23" s="21" t="s">
        <v>32</v>
      </c>
      <c r="C23" s="18">
        <v>33.999368</v>
      </c>
      <c r="D23" s="19"/>
      <c r="E23" s="18">
        <f t="shared" si="0"/>
        <v>33.999368</v>
      </c>
      <c r="F23" s="23">
        <v>30.995227</v>
      </c>
      <c r="G23" s="19"/>
      <c r="H23" s="18">
        <f t="shared" si="1"/>
        <v>30.995227</v>
      </c>
      <c r="I23" s="18">
        <f t="shared" si="2"/>
        <v>-3.00414099999999</v>
      </c>
      <c r="J23" s="34">
        <f t="shared" si="3"/>
        <v>-0.0883587306681699</v>
      </c>
      <c r="K23" s="33"/>
    </row>
    <row r="24" s="1" customFormat="1" customHeight="1" spans="1:11">
      <c r="A24" s="16">
        <v>3</v>
      </c>
      <c r="B24" s="21" t="s">
        <v>33</v>
      </c>
      <c r="C24" s="18">
        <v>3850.76499</v>
      </c>
      <c r="D24" s="19"/>
      <c r="E24" s="19">
        <f t="shared" si="0"/>
        <v>3850.76499</v>
      </c>
      <c r="F24" s="20">
        <f>SUM(F25:F36)</f>
        <v>2973.995748</v>
      </c>
      <c r="G24" s="19"/>
      <c r="H24" s="19">
        <f t="shared" si="1"/>
        <v>2973.995748</v>
      </c>
      <c r="I24" s="19">
        <f t="shared" si="2"/>
        <v>-876.769242</v>
      </c>
      <c r="J24" s="32">
        <f t="shared" si="3"/>
        <v>-0.22768702953228</v>
      </c>
      <c r="K24" s="33"/>
    </row>
    <row r="25" s="1" customFormat="1" customHeight="1" spans="1:11">
      <c r="A25" s="22">
        <v>3.1</v>
      </c>
      <c r="B25" s="21" t="s">
        <v>34</v>
      </c>
      <c r="C25" s="18">
        <v>265.73302</v>
      </c>
      <c r="D25" s="19"/>
      <c r="E25" s="18">
        <f t="shared" si="0"/>
        <v>265.73302</v>
      </c>
      <c r="F25" s="23">
        <v>262.817296</v>
      </c>
      <c r="G25" s="19"/>
      <c r="H25" s="18">
        <f t="shared" si="1"/>
        <v>262.817296</v>
      </c>
      <c r="I25" s="18">
        <f t="shared" si="2"/>
        <v>-2.91572400000001</v>
      </c>
      <c r="J25" s="34">
        <f t="shared" si="3"/>
        <v>-0.0109723812268419</v>
      </c>
      <c r="K25" s="33"/>
    </row>
    <row r="26" s="1" customFormat="1" customHeight="1" spans="1:11">
      <c r="A26" s="22">
        <v>3.2</v>
      </c>
      <c r="B26" s="17" t="s">
        <v>35</v>
      </c>
      <c r="C26" s="18">
        <v>1219.944135</v>
      </c>
      <c r="D26" s="19"/>
      <c r="E26" s="18">
        <f t="shared" si="0"/>
        <v>1219.944135</v>
      </c>
      <c r="F26" s="23">
        <v>816.185659</v>
      </c>
      <c r="G26" s="19"/>
      <c r="H26" s="18">
        <f t="shared" si="1"/>
        <v>816.185659</v>
      </c>
      <c r="I26" s="18">
        <f t="shared" si="2"/>
        <v>-403.758476</v>
      </c>
      <c r="J26" s="34">
        <f t="shared" si="3"/>
        <v>-0.330964725692132</v>
      </c>
      <c r="K26" s="33"/>
    </row>
    <row r="27" s="1" customFormat="1" customHeight="1" spans="1:11">
      <c r="A27" s="22">
        <v>3.3</v>
      </c>
      <c r="B27" s="17" t="s">
        <v>36</v>
      </c>
      <c r="C27" s="18">
        <v>195.660846</v>
      </c>
      <c r="D27" s="19"/>
      <c r="E27" s="18">
        <f t="shared" si="0"/>
        <v>195.660846</v>
      </c>
      <c r="F27" s="23">
        <v>126.366321</v>
      </c>
      <c r="G27" s="19"/>
      <c r="H27" s="18">
        <f t="shared" si="1"/>
        <v>126.366321</v>
      </c>
      <c r="I27" s="18">
        <f t="shared" si="2"/>
        <v>-69.294525</v>
      </c>
      <c r="J27" s="34">
        <f t="shared" si="3"/>
        <v>-0.354156319041981</v>
      </c>
      <c r="K27" s="33"/>
    </row>
    <row r="28" s="1" customFormat="1" customHeight="1" spans="1:11">
      <c r="A28" s="22">
        <v>3.4</v>
      </c>
      <c r="B28" s="17" t="s">
        <v>37</v>
      </c>
      <c r="C28" s="18">
        <v>30.042848</v>
      </c>
      <c r="D28" s="19"/>
      <c r="E28" s="18">
        <f t="shared" si="0"/>
        <v>30.042848</v>
      </c>
      <c r="F28" s="23">
        <v>24.405371</v>
      </c>
      <c r="G28" s="19"/>
      <c r="H28" s="18">
        <f t="shared" si="1"/>
        <v>24.405371</v>
      </c>
      <c r="I28" s="18">
        <f t="shared" si="2"/>
        <v>-5.637477</v>
      </c>
      <c r="J28" s="34">
        <f t="shared" si="3"/>
        <v>-0.187647888775392</v>
      </c>
      <c r="K28" s="33"/>
    </row>
    <row r="29" s="1" customFormat="1" customHeight="1" spans="1:11">
      <c r="A29" s="22">
        <v>3.5</v>
      </c>
      <c r="B29" s="17" t="s">
        <v>38</v>
      </c>
      <c r="C29" s="18">
        <v>129.612965</v>
      </c>
      <c r="D29" s="19"/>
      <c r="E29" s="18">
        <f t="shared" si="0"/>
        <v>129.612965</v>
      </c>
      <c r="F29" s="23">
        <v>71.640856</v>
      </c>
      <c r="G29" s="19"/>
      <c r="H29" s="18">
        <f t="shared" si="1"/>
        <v>71.640856</v>
      </c>
      <c r="I29" s="18">
        <f t="shared" si="2"/>
        <v>-57.972109</v>
      </c>
      <c r="J29" s="34">
        <f t="shared" si="3"/>
        <v>-0.447270911517224</v>
      </c>
      <c r="K29" s="33"/>
    </row>
    <row r="30" s="1" customFormat="1" customHeight="1" spans="1:11">
      <c r="A30" s="22">
        <v>3.6</v>
      </c>
      <c r="B30" s="17" t="s">
        <v>39</v>
      </c>
      <c r="C30" s="18">
        <v>505.911412</v>
      </c>
      <c r="D30" s="19"/>
      <c r="E30" s="18">
        <f t="shared" si="0"/>
        <v>505.911412</v>
      </c>
      <c r="F30" s="23">
        <v>329.251223</v>
      </c>
      <c r="G30" s="19"/>
      <c r="H30" s="18">
        <f t="shared" si="1"/>
        <v>329.251223</v>
      </c>
      <c r="I30" s="18">
        <f t="shared" si="2"/>
        <v>-176.660189</v>
      </c>
      <c r="J30" s="34">
        <f t="shared" si="3"/>
        <v>-0.349191943114341</v>
      </c>
      <c r="K30" s="33"/>
    </row>
    <row r="31" s="1" customFormat="1" customHeight="1" spans="1:11">
      <c r="A31" s="22">
        <v>3.7</v>
      </c>
      <c r="B31" s="17" t="s">
        <v>40</v>
      </c>
      <c r="C31" s="18">
        <v>211.205397</v>
      </c>
      <c r="D31" s="19"/>
      <c r="E31" s="18">
        <f t="shared" si="0"/>
        <v>211.205397</v>
      </c>
      <c r="F31" s="23">
        <v>125.735864</v>
      </c>
      <c r="G31" s="19"/>
      <c r="H31" s="18">
        <f t="shared" si="1"/>
        <v>125.735864</v>
      </c>
      <c r="I31" s="18">
        <f t="shared" si="2"/>
        <v>-85.469533</v>
      </c>
      <c r="J31" s="34">
        <f t="shared" si="3"/>
        <v>-0.404674947771339</v>
      </c>
      <c r="K31" s="33"/>
    </row>
    <row r="32" s="1" customFormat="1" customHeight="1" spans="1:11">
      <c r="A32" s="22">
        <v>3.8</v>
      </c>
      <c r="B32" s="17" t="s">
        <v>41</v>
      </c>
      <c r="C32" s="18">
        <v>366.756077</v>
      </c>
      <c r="D32" s="19"/>
      <c r="E32" s="18">
        <f t="shared" si="0"/>
        <v>366.756077</v>
      </c>
      <c r="F32" s="23">
        <v>299.004633</v>
      </c>
      <c r="G32" s="19"/>
      <c r="H32" s="18">
        <f t="shared" si="1"/>
        <v>299.004633</v>
      </c>
      <c r="I32" s="18">
        <f t="shared" si="2"/>
        <v>-67.751444</v>
      </c>
      <c r="J32" s="34">
        <f t="shared" si="3"/>
        <v>-0.184731619320925</v>
      </c>
      <c r="K32" s="33"/>
    </row>
    <row r="33" s="1" customFormat="1" customHeight="1" spans="1:11">
      <c r="A33" s="22">
        <v>3.9</v>
      </c>
      <c r="B33" s="21" t="s">
        <v>42</v>
      </c>
      <c r="C33" s="18">
        <v>248.456355</v>
      </c>
      <c r="D33" s="19"/>
      <c r="E33" s="18">
        <f t="shared" si="0"/>
        <v>248.456355</v>
      </c>
      <c r="F33" s="23">
        <v>247.517273</v>
      </c>
      <c r="G33" s="19"/>
      <c r="H33" s="18">
        <f t="shared" si="1"/>
        <v>247.517273</v>
      </c>
      <c r="I33" s="18">
        <f t="shared" si="2"/>
        <v>-0.939082000000013</v>
      </c>
      <c r="J33" s="34">
        <f t="shared" si="3"/>
        <v>-0.00377966584915895</v>
      </c>
      <c r="K33" s="33"/>
    </row>
    <row r="34" s="1" customFormat="1" customHeight="1" spans="1:11">
      <c r="A34" s="22" t="s">
        <v>43</v>
      </c>
      <c r="B34" s="21" t="s">
        <v>44</v>
      </c>
      <c r="C34" s="18">
        <v>123.663232</v>
      </c>
      <c r="D34" s="19"/>
      <c r="E34" s="18">
        <f t="shared" si="0"/>
        <v>123.663232</v>
      </c>
      <c r="F34" s="23">
        <v>122.717264</v>
      </c>
      <c r="G34" s="19"/>
      <c r="H34" s="18">
        <f t="shared" si="1"/>
        <v>122.717264</v>
      </c>
      <c r="I34" s="18">
        <f t="shared" si="2"/>
        <v>-0.945968000000008</v>
      </c>
      <c r="J34" s="34">
        <f t="shared" si="3"/>
        <v>-0.00764954938263305</v>
      </c>
      <c r="K34" s="33"/>
    </row>
    <row r="35" s="1" customFormat="1" customHeight="1" spans="1:11">
      <c r="A35" s="22" t="s">
        <v>45</v>
      </c>
      <c r="B35" s="21" t="s">
        <v>46</v>
      </c>
      <c r="C35" s="18">
        <v>242.772547</v>
      </c>
      <c r="D35" s="19"/>
      <c r="E35" s="18">
        <f t="shared" si="0"/>
        <v>242.772547</v>
      </c>
      <c r="F35" s="23">
        <v>241.390783</v>
      </c>
      <c r="G35" s="19"/>
      <c r="H35" s="18">
        <f t="shared" si="1"/>
        <v>241.390783</v>
      </c>
      <c r="I35" s="18">
        <f t="shared" si="2"/>
        <v>-1.381764</v>
      </c>
      <c r="J35" s="34">
        <f t="shared" si="3"/>
        <v>-0.00569159905876839</v>
      </c>
      <c r="K35" s="33"/>
    </row>
    <row r="36" s="1" customFormat="1" customHeight="1" spans="1:11">
      <c r="A36" s="22">
        <v>3.12</v>
      </c>
      <c r="B36" s="17" t="s">
        <v>47</v>
      </c>
      <c r="C36" s="18">
        <v>311.006156</v>
      </c>
      <c r="D36" s="19"/>
      <c r="E36" s="18">
        <f t="shared" si="0"/>
        <v>311.006156</v>
      </c>
      <c r="F36" s="23">
        <v>306.963205</v>
      </c>
      <c r="G36" s="19"/>
      <c r="H36" s="18">
        <f t="shared" si="1"/>
        <v>306.963205</v>
      </c>
      <c r="I36" s="18">
        <f t="shared" si="2"/>
        <v>-4.04295100000002</v>
      </c>
      <c r="J36" s="34">
        <f t="shared" si="3"/>
        <v>-0.0129995851271832</v>
      </c>
      <c r="K36" s="33"/>
    </row>
    <row r="37" s="1" customFormat="1" customHeight="1" spans="1:11">
      <c r="A37" s="16">
        <v>4</v>
      </c>
      <c r="B37" s="21" t="s">
        <v>48</v>
      </c>
      <c r="C37" s="18">
        <v>1980.621914</v>
      </c>
      <c r="D37" s="19"/>
      <c r="E37" s="19">
        <f t="shared" si="0"/>
        <v>1980.621914</v>
      </c>
      <c r="F37" s="20">
        <f>SUM(F38:F41)</f>
        <v>1825.808187</v>
      </c>
      <c r="G37" s="19"/>
      <c r="H37" s="19">
        <f t="shared" si="1"/>
        <v>1825.808187</v>
      </c>
      <c r="I37" s="19">
        <f t="shared" si="2"/>
        <v>-154.813727</v>
      </c>
      <c r="J37" s="32">
        <f t="shared" si="3"/>
        <v>-0.0781641997928535</v>
      </c>
      <c r="K37" s="33"/>
    </row>
    <row r="38" s="1" customFormat="1" customHeight="1" spans="1:11">
      <c r="A38" s="22">
        <v>4.1</v>
      </c>
      <c r="B38" s="21" t="s">
        <v>49</v>
      </c>
      <c r="C38" s="18">
        <v>204.090587</v>
      </c>
      <c r="D38" s="19"/>
      <c r="E38" s="18">
        <f t="shared" si="0"/>
        <v>204.090587</v>
      </c>
      <c r="F38" s="23">
        <v>203.393569</v>
      </c>
      <c r="G38" s="19"/>
      <c r="H38" s="18">
        <f t="shared" si="1"/>
        <v>203.393569</v>
      </c>
      <c r="I38" s="18">
        <f t="shared" si="2"/>
        <v>-0.697018000000014</v>
      </c>
      <c r="J38" s="34">
        <f t="shared" si="3"/>
        <v>-0.00341523835197757</v>
      </c>
      <c r="K38" s="33"/>
    </row>
    <row r="39" s="1" customFormat="1" customHeight="1" spans="1:11">
      <c r="A39" s="22">
        <v>4.2</v>
      </c>
      <c r="B39" s="21" t="s">
        <v>50</v>
      </c>
      <c r="C39" s="18">
        <v>182.982382</v>
      </c>
      <c r="D39" s="19"/>
      <c r="E39" s="18">
        <f t="shared" si="0"/>
        <v>182.982382</v>
      </c>
      <c r="F39" s="23">
        <v>182.827804</v>
      </c>
      <c r="G39" s="19"/>
      <c r="H39" s="18">
        <f t="shared" si="1"/>
        <v>182.827804</v>
      </c>
      <c r="I39" s="18">
        <f t="shared" si="2"/>
        <v>-0.154577999999987</v>
      </c>
      <c r="J39" s="34">
        <f t="shared" si="3"/>
        <v>-0.000844769853307443</v>
      </c>
      <c r="K39" s="33"/>
    </row>
    <row r="40" s="1" customFormat="1" customHeight="1" spans="1:11">
      <c r="A40" s="22">
        <v>4.3</v>
      </c>
      <c r="B40" s="21" t="s">
        <v>51</v>
      </c>
      <c r="C40" s="18">
        <v>37.441176</v>
      </c>
      <c r="D40" s="19"/>
      <c r="E40" s="18">
        <f t="shared" si="0"/>
        <v>37.441176</v>
      </c>
      <c r="F40" s="23">
        <v>36.955699</v>
      </c>
      <c r="G40" s="19"/>
      <c r="H40" s="18">
        <f t="shared" si="1"/>
        <v>36.955699</v>
      </c>
      <c r="I40" s="18">
        <f t="shared" si="2"/>
        <v>-0.485477000000003</v>
      </c>
      <c r="J40" s="34">
        <f t="shared" si="3"/>
        <v>-0.0129663929359485</v>
      </c>
      <c r="K40" s="33"/>
    </row>
    <row r="41" s="1" customFormat="1" customHeight="1" spans="1:11">
      <c r="A41" s="22">
        <v>4.4</v>
      </c>
      <c r="B41" s="21" t="s">
        <v>52</v>
      </c>
      <c r="C41" s="18">
        <v>1556.107769</v>
      </c>
      <c r="D41" s="19"/>
      <c r="E41" s="18">
        <f t="shared" si="0"/>
        <v>1556.107769</v>
      </c>
      <c r="F41" s="23">
        <v>1402.631115</v>
      </c>
      <c r="G41" s="19"/>
      <c r="H41" s="18">
        <f t="shared" si="1"/>
        <v>1402.631115</v>
      </c>
      <c r="I41" s="18">
        <f t="shared" si="2"/>
        <v>-153.476654</v>
      </c>
      <c r="J41" s="34">
        <f t="shared" si="3"/>
        <v>-0.0986285507067601</v>
      </c>
      <c r="K41" s="33"/>
    </row>
    <row r="42" s="1" customFormat="1" customHeight="1" spans="1:11">
      <c r="A42" s="16" t="s">
        <v>53</v>
      </c>
      <c r="B42" s="16" t="s">
        <v>54</v>
      </c>
      <c r="C42" s="24"/>
      <c r="D42" s="20">
        <v>2592.03064949705</v>
      </c>
      <c r="E42" s="19">
        <f t="shared" si="0"/>
        <v>2592.03064949705</v>
      </c>
      <c r="F42" s="19"/>
      <c r="G42" s="19">
        <f>G43+G68+G71</f>
        <v>2519.96460041546</v>
      </c>
      <c r="H42" s="19">
        <f t="shared" ref="H42:H44" si="4">+F42+G42</f>
        <v>2519.96460041546</v>
      </c>
      <c r="I42" s="19">
        <f t="shared" si="2"/>
        <v>-72.0660490815872</v>
      </c>
      <c r="J42" s="32">
        <f t="shared" si="3"/>
        <v>-0.0278029309165656</v>
      </c>
      <c r="K42" s="33"/>
    </row>
    <row r="43" s="1" customFormat="1" customHeight="1" spans="1:11">
      <c r="A43" s="16" t="s">
        <v>55</v>
      </c>
      <c r="B43" s="16" t="s">
        <v>56</v>
      </c>
      <c r="C43" s="24"/>
      <c r="D43" s="19">
        <f>+D44+D45+D46+D50+D51+D55+D61+D62+D63+D64+D65+D66+D67</f>
        <v>2206.89375916205</v>
      </c>
      <c r="E43" s="19">
        <f t="shared" si="0"/>
        <v>2206.89375916205</v>
      </c>
      <c r="F43" s="19"/>
      <c r="G43" s="19">
        <f>+G44+G45+G46+G50+G51+G55+G61+G62+G63+G64+G65+G66+G67</f>
        <v>2052.31287807946</v>
      </c>
      <c r="H43" s="19">
        <f t="shared" si="4"/>
        <v>2052.31287807946</v>
      </c>
      <c r="I43" s="19">
        <f t="shared" si="2"/>
        <v>-154.580881082587</v>
      </c>
      <c r="J43" s="32">
        <f t="shared" si="3"/>
        <v>-0.0700445503734993</v>
      </c>
      <c r="K43" s="33"/>
    </row>
    <row r="44" s="1" customFormat="1" customHeight="1" spans="1:11">
      <c r="A44" s="25">
        <v>1</v>
      </c>
      <c r="B44" s="22" t="s">
        <v>57</v>
      </c>
      <c r="C44" s="26"/>
      <c r="D44" s="23">
        <v>13.8</v>
      </c>
      <c r="E44" s="18">
        <f t="shared" si="0"/>
        <v>13.8</v>
      </c>
      <c r="F44" s="23"/>
      <c r="G44" s="23">
        <v>13.8</v>
      </c>
      <c r="H44" s="18">
        <f t="shared" si="4"/>
        <v>13.8</v>
      </c>
      <c r="I44" s="18">
        <f t="shared" si="2"/>
        <v>0</v>
      </c>
      <c r="J44" s="34">
        <f t="shared" si="3"/>
        <v>0</v>
      </c>
      <c r="K44" s="35" t="s">
        <v>58</v>
      </c>
    </row>
    <row r="45" s="1" customFormat="1" customHeight="1" spans="1:11">
      <c r="A45" s="25">
        <v>2</v>
      </c>
      <c r="B45" s="22" t="s">
        <v>59</v>
      </c>
      <c r="C45" s="26"/>
      <c r="D45" s="23">
        <v>11.309474086125</v>
      </c>
      <c r="E45" s="18">
        <f t="shared" si="0"/>
        <v>11.309474086125</v>
      </c>
      <c r="F45" s="23"/>
      <c r="G45" s="18">
        <f>10+(H4-10000)/(50000-10000)*(15-10)</f>
        <v>10.9961800365</v>
      </c>
      <c r="H45" s="18">
        <f t="shared" ref="H45:H77" si="5">+F45+G45</f>
        <v>10.9961800365</v>
      </c>
      <c r="I45" s="18">
        <f t="shared" ref="I45:I79" si="6">H45-E45</f>
        <v>-0.313294049625</v>
      </c>
      <c r="J45" s="34">
        <f t="shared" ref="J45:J77" si="7">I45/E45</f>
        <v>-0.0277019114451453</v>
      </c>
      <c r="K45" s="36" t="s">
        <v>60</v>
      </c>
    </row>
    <row r="46" s="1" customFormat="1" customHeight="1" spans="1:11">
      <c r="A46" s="25">
        <v>3</v>
      </c>
      <c r="B46" s="22" t="s">
        <v>61</v>
      </c>
      <c r="C46" s="24"/>
      <c r="D46" s="23">
        <v>672.557220938883</v>
      </c>
      <c r="E46" s="18">
        <f t="shared" si="0"/>
        <v>672.557220938883</v>
      </c>
      <c r="F46" s="19"/>
      <c r="G46" s="18">
        <f>G47+G48+G49</f>
        <v>596.067463646904</v>
      </c>
      <c r="H46" s="18">
        <f t="shared" si="5"/>
        <v>596.067463646904</v>
      </c>
      <c r="I46" s="18">
        <f t="shared" si="6"/>
        <v>-76.4897572919791</v>
      </c>
      <c r="J46" s="34">
        <f t="shared" si="7"/>
        <v>-0.113729739136843</v>
      </c>
      <c r="K46" s="35"/>
    </row>
    <row r="47" ht="27" customHeight="1" spans="1:11">
      <c r="A47" s="25">
        <v>3.1</v>
      </c>
      <c r="B47" s="22" t="s">
        <v>62</v>
      </c>
      <c r="C47" s="26"/>
      <c r="D47" s="23">
        <v>62.4</v>
      </c>
      <c r="E47" s="18">
        <f t="shared" si="0"/>
        <v>62.4</v>
      </c>
      <c r="F47" s="18"/>
      <c r="G47" s="18">
        <f>+E47+F47</f>
        <v>62.4</v>
      </c>
      <c r="H47" s="18">
        <f t="shared" si="5"/>
        <v>62.4</v>
      </c>
      <c r="I47" s="18">
        <f t="shared" si="6"/>
        <v>0</v>
      </c>
      <c r="J47" s="34">
        <f t="shared" si="7"/>
        <v>0</v>
      </c>
      <c r="K47" s="35" t="s">
        <v>63</v>
      </c>
    </row>
    <row r="48" customHeight="1" spans="1:11">
      <c r="A48" s="25">
        <v>3.2</v>
      </c>
      <c r="B48" s="22" t="s">
        <v>64</v>
      </c>
      <c r="C48" s="26"/>
      <c r="D48" s="23">
        <v>3.744</v>
      </c>
      <c r="E48" s="18">
        <f t="shared" si="0"/>
        <v>3.744</v>
      </c>
      <c r="F48" s="18"/>
      <c r="G48" s="18">
        <f>+G47*6%</f>
        <v>3.744</v>
      </c>
      <c r="H48" s="18">
        <f t="shared" si="5"/>
        <v>3.744</v>
      </c>
      <c r="I48" s="18">
        <f t="shared" si="6"/>
        <v>0</v>
      </c>
      <c r="J48" s="34">
        <f t="shared" si="7"/>
        <v>0</v>
      </c>
      <c r="K48" s="35" t="s">
        <v>65</v>
      </c>
    </row>
    <row r="49" s="1" customFormat="1" customHeight="1" spans="1:11">
      <c r="A49" s="25">
        <v>3.3</v>
      </c>
      <c r="B49" s="22" t="s">
        <v>66</v>
      </c>
      <c r="C49" s="24"/>
      <c r="D49" s="23">
        <v>606.413220938883</v>
      </c>
      <c r="E49" s="18">
        <f t="shared" si="0"/>
        <v>606.413220938883</v>
      </c>
      <c r="F49" s="19"/>
      <c r="G49" s="18">
        <f>(566.8+(H4-20000)/20000*(1054-566.8))*1.1*1.15*1.2*0.55+98+D38/20000*(1054-566.8)*1.1*1.15*1.2</f>
        <v>529.923463646904</v>
      </c>
      <c r="H49" s="18">
        <f t="shared" si="5"/>
        <v>529.923463646904</v>
      </c>
      <c r="I49" s="18">
        <f t="shared" si="6"/>
        <v>-76.4897572919791</v>
      </c>
      <c r="J49" s="34">
        <f t="shared" si="7"/>
        <v>-0.126134712520867</v>
      </c>
      <c r="K49" s="35" t="s">
        <v>67</v>
      </c>
    </row>
    <row r="50" s="2" customFormat="1" customHeight="1" spans="1:11">
      <c r="A50" s="25">
        <v>4</v>
      </c>
      <c r="B50" s="22" t="s">
        <v>68</v>
      </c>
      <c r="C50" s="26"/>
      <c r="D50" s="23">
        <v>27.2233719579</v>
      </c>
      <c r="E50" s="18">
        <f t="shared" si="0"/>
        <v>27.2233719579</v>
      </c>
      <c r="F50" s="18"/>
      <c r="G50" s="18">
        <f>1000*0.19%+4000*0.17%+500*0.14%+(H4-10000)*0.11%</f>
        <v>18.1663843212</v>
      </c>
      <c r="H50" s="18">
        <f t="shared" si="5"/>
        <v>18.1663843212</v>
      </c>
      <c r="I50" s="18">
        <f t="shared" si="6"/>
        <v>-9.0569876367</v>
      </c>
      <c r="J50" s="34">
        <f t="shared" si="7"/>
        <v>-0.332691616993895</v>
      </c>
      <c r="K50" s="35" t="s">
        <v>69</v>
      </c>
    </row>
    <row r="51" s="2" customFormat="1" customHeight="1" spans="1:11">
      <c r="A51" s="25">
        <v>5</v>
      </c>
      <c r="B51" s="22" t="s">
        <v>70</v>
      </c>
      <c r="C51" s="26"/>
      <c r="D51" s="23">
        <v>40.283897630864</v>
      </c>
      <c r="E51" s="18">
        <f t="shared" si="0"/>
        <v>40.283897630864</v>
      </c>
      <c r="F51" s="18"/>
      <c r="G51" s="18">
        <f>G52+G53+G54</f>
        <v>39.9164998104493</v>
      </c>
      <c r="H51" s="18">
        <f t="shared" si="5"/>
        <v>39.9164998104493</v>
      </c>
      <c r="I51" s="18">
        <f t="shared" si="6"/>
        <v>-0.367397820414716</v>
      </c>
      <c r="J51" s="34">
        <f t="shared" si="7"/>
        <v>-0.00912021532229369</v>
      </c>
      <c r="K51" s="35"/>
    </row>
    <row r="52" s="2" customFormat="1" customHeight="1" spans="1:11">
      <c r="A52" s="25">
        <v>5.1</v>
      </c>
      <c r="B52" s="22" t="s">
        <v>71</v>
      </c>
      <c r="C52" s="26"/>
      <c r="D52" s="23">
        <v>35.7878963445</v>
      </c>
      <c r="E52" s="18">
        <f t="shared" si="0"/>
        <v>35.7878963445</v>
      </c>
      <c r="F52" s="18"/>
      <c r="G52" s="18">
        <f>100*1%+400*0.7%+500*0.55%+4000*0.35%+5000*0.2%+(H4-10000)*0.05%</f>
        <v>34.534720146</v>
      </c>
      <c r="H52" s="18">
        <f t="shared" si="5"/>
        <v>34.534720146</v>
      </c>
      <c r="I52" s="18">
        <f t="shared" si="6"/>
        <v>-1.2531761985</v>
      </c>
      <c r="J52" s="34">
        <f t="shared" si="7"/>
        <v>-0.0350167605951668</v>
      </c>
      <c r="K52" s="37" t="s">
        <v>72</v>
      </c>
    </row>
    <row r="53" s="2" customFormat="1" customHeight="1" spans="1:11">
      <c r="A53" s="25">
        <v>5.2</v>
      </c>
      <c r="B53" s="22" t="s">
        <v>73</v>
      </c>
      <c r="C53" s="26"/>
      <c r="D53" s="23">
        <v>1.383983292938</v>
      </c>
      <c r="E53" s="18">
        <f t="shared" si="0"/>
        <v>1.383983292938</v>
      </c>
      <c r="F53" s="18"/>
      <c r="G53" s="18">
        <f>1*1.5+(G59-100)*0.8%</f>
        <v>1.818533134016</v>
      </c>
      <c r="H53" s="18">
        <f t="shared" si="5"/>
        <v>1.818533134016</v>
      </c>
      <c r="I53" s="18">
        <f t="shared" si="6"/>
        <v>0.434549841078</v>
      </c>
      <c r="J53" s="34">
        <f t="shared" si="7"/>
        <v>0.313984889337437</v>
      </c>
      <c r="K53" s="38"/>
    </row>
    <row r="54" s="2" customFormat="1" customHeight="1" spans="1:11">
      <c r="A54" s="25">
        <v>5.3</v>
      </c>
      <c r="B54" s="22" t="s">
        <v>74</v>
      </c>
      <c r="C54" s="26"/>
      <c r="D54" s="23">
        <v>3.11201799342604</v>
      </c>
      <c r="E54" s="18">
        <f t="shared" si="0"/>
        <v>3.11201799342604</v>
      </c>
      <c r="F54" s="18"/>
      <c r="G54" s="18">
        <f>1*1.5+(G62-100)*0.8%</f>
        <v>3.56324653043328</v>
      </c>
      <c r="H54" s="18">
        <f t="shared" si="5"/>
        <v>3.56324653043328</v>
      </c>
      <c r="I54" s="18">
        <f t="shared" si="6"/>
        <v>0.45122853700724</v>
      </c>
      <c r="J54" s="34">
        <f t="shared" si="7"/>
        <v>0.144995478162541</v>
      </c>
      <c r="K54" s="39"/>
    </row>
    <row r="55" s="1" customFormat="1" customHeight="1" spans="1:11">
      <c r="A55" s="25">
        <v>6</v>
      </c>
      <c r="B55" s="22" t="s">
        <v>75</v>
      </c>
      <c r="C55" s="24"/>
      <c r="D55" s="27">
        <v>251.65108237325</v>
      </c>
      <c r="E55" s="18">
        <f t="shared" ref="E55:E69" si="8">+C55+D55</f>
        <v>251.65108237325</v>
      </c>
      <c r="F55" s="19"/>
      <c r="G55" s="18">
        <f>SUM(G56:G60)</f>
        <v>237.917322701</v>
      </c>
      <c r="H55" s="18">
        <f t="shared" si="5"/>
        <v>237.917322701</v>
      </c>
      <c r="I55" s="18">
        <f t="shared" si="6"/>
        <v>-13.73375967225</v>
      </c>
      <c r="J55" s="34">
        <f t="shared" si="7"/>
        <v>-0.0545746099827222</v>
      </c>
      <c r="K55" s="35"/>
    </row>
    <row r="56" s="2" customFormat="1" customHeight="1" spans="1:11">
      <c r="A56" s="22">
        <v>6.1</v>
      </c>
      <c r="B56" s="22" t="s">
        <v>76</v>
      </c>
      <c r="C56" s="26"/>
      <c r="D56" s="23">
        <v>14</v>
      </c>
      <c r="E56" s="18">
        <f t="shared" si="8"/>
        <v>14</v>
      </c>
      <c r="F56" s="18"/>
      <c r="G56" s="18">
        <v>14</v>
      </c>
      <c r="H56" s="18">
        <f t="shared" si="5"/>
        <v>14</v>
      </c>
      <c r="I56" s="18">
        <f t="shared" si="6"/>
        <v>0</v>
      </c>
      <c r="J56" s="34">
        <f t="shared" si="7"/>
        <v>0</v>
      </c>
      <c r="K56" s="35" t="s">
        <v>58</v>
      </c>
    </row>
    <row r="57" s="2" customFormat="1" customHeight="1" spans="1:11">
      <c r="A57" s="22">
        <f>A56+0.1</f>
        <v>6.2</v>
      </c>
      <c r="B57" s="22" t="s">
        <v>77</v>
      </c>
      <c r="C57" s="26"/>
      <c r="D57" s="23">
        <v>19.2806341512</v>
      </c>
      <c r="E57" s="18">
        <f t="shared" si="8"/>
        <v>19.2806341512</v>
      </c>
      <c r="F57" s="18"/>
      <c r="G57" s="18">
        <v>9.45</v>
      </c>
      <c r="H57" s="18">
        <f t="shared" si="5"/>
        <v>9.45</v>
      </c>
      <c r="I57" s="18">
        <f t="shared" si="6"/>
        <v>-9.8306341512</v>
      </c>
      <c r="J57" s="34">
        <f t="shared" si="7"/>
        <v>-0.509870892944056</v>
      </c>
      <c r="K57" s="35" t="s">
        <v>58</v>
      </c>
    </row>
    <row r="58" s="2" customFormat="1" customHeight="1" spans="1:11">
      <c r="A58" s="22">
        <f>A57+0.1</f>
        <v>6.3</v>
      </c>
      <c r="B58" s="22" t="s">
        <v>78</v>
      </c>
      <c r="C58" s="26"/>
      <c r="D58" s="23">
        <v>8</v>
      </c>
      <c r="E58" s="18">
        <f t="shared" si="8"/>
        <v>8</v>
      </c>
      <c r="F58" s="18"/>
      <c r="G58" s="18">
        <v>8</v>
      </c>
      <c r="H58" s="18">
        <f t="shared" si="5"/>
        <v>8</v>
      </c>
      <c r="I58" s="18">
        <f t="shared" si="6"/>
        <v>0</v>
      </c>
      <c r="J58" s="34">
        <f t="shared" si="7"/>
        <v>0</v>
      </c>
      <c r="K58" s="35" t="s">
        <v>58</v>
      </c>
    </row>
    <row r="59" s="2" customFormat="1" customHeight="1" spans="1:11">
      <c r="A59" s="22">
        <f>A58+0.1</f>
        <v>6.4</v>
      </c>
      <c r="B59" s="22" t="s">
        <v>79</v>
      </c>
      <c r="C59" s="26"/>
      <c r="D59" s="23">
        <v>154.854756134</v>
      </c>
      <c r="E59" s="18">
        <f t="shared" si="8"/>
        <v>154.854756134</v>
      </c>
      <c r="F59" s="18"/>
      <c r="G59" s="18">
        <f>500*1.3%+500*1.1%+4000*1%+5000*0.8%+(H4-10000)*0.6%</f>
        <v>139.816641752</v>
      </c>
      <c r="H59" s="18">
        <f t="shared" si="5"/>
        <v>139.816641752</v>
      </c>
      <c r="I59" s="18">
        <f t="shared" si="6"/>
        <v>-15.038114382</v>
      </c>
      <c r="J59" s="34">
        <f t="shared" si="7"/>
        <v>-0.0971110914345254</v>
      </c>
      <c r="K59" s="35" t="s">
        <v>80</v>
      </c>
    </row>
    <row r="60" s="2" customFormat="1" customHeight="1" spans="1:11">
      <c r="A60" s="22">
        <f>A59+0.1</f>
        <v>6.5</v>
      </c>
      <c r="B60" s="22" t="s">
        <v>81</v>
      </c>
      <c r="C60" s="26"/>
      <c r="D60" s="23">
        <v>74.79632623925</v>
      </c>
      <c r="E60" s="18">
        <f t="shared" si="8"/>
        <v>74.79632623925</v>
      </c>
      <c r="F60" s="18"/>
      <c r="G60" s="18">
        <f>500*0.35%+500*0.3%+4000*0.25%+5000*0.2%+(H4-10000)*0.15%+(H4*5%)*3.5%</f>
        <v>66.650680949</v>
      </c>
      <c r="H60" s="18">
        <f t="shared" si="5"/>
        <v>66.650680949</v>
      </c>
      <c r="I60" s="18">
        <f t="shared" si="6"/>
        <v>-8.14564529025</v>
      </c>
      <c r="J60" s="34">
        <f t="shared" si="7"/>
        <v>-0.108904349983643</v>
      </c>
      <c r="K60" s="35" t="s">
        <v>82</v>
      </c>
    </row>
    <row r="61" s="2" customFormat="1" customHeight="1" spans="1:11">
      <c r="A61" s="22">
        <v>7</v>
      </c>
      <c r="B61" s="22" t="s">
        <v>83</v>
      </c>
      <c r="C61" s="26"/>
      <c r="D61" s="23">
        <v>6.62136890335</v>
      </c>
      <c r="E61" s="18">
        <f t="shared" si="8"/>
        <v>6.62136890335</v>
      </c>
      <c r="F61" s="18"/>
      <c r="G61" s="18">
        <f>(0.3+400*0.25%+500*0.15%+4000*0.05%+5000*0.02%+(H4-10000)*0.015%)</f>
        <v>6.2454160438</v>
      </c>
      <c r="H61" s="18">
        <f t="shared" si="5"/>
        <v>6.2454160438</v>
      </c>
      <c r="I61" s="18">
        <f t="shared" si="6"/>
        <v>-0.37595285955</v>
      </c>
      <c r="J61" s="34">
        <f t="shared" si="7"/>
        <v>-0.0567787212942918</v>
      </c>
      <c r="K61" s="35" t="s">
        <v>84</v>
      </c>
    </row>
    <row r="62" s="2" customFormat="1" customHeight="1" spans="1:11">
      <c r="A62" s="22">
        <v>8</v>
      </c>
      <c r="B62" s="22" t="s">
        <v>85</v>
      </c>
      <c r="C62" s="26"/>
      <c r="D62" s="23">
        <v>401.71685620372</v>
      </c>
      <c r="E62" s="18">
        <f t="shared" si="8"/>
        <v>401.71685620372</v>
      </c>
      <c r="F62" s="18"/>
      <c r="G62" s="18">
        <f>218.6+(H4-10000)/(20000-10000)*(393.4-218.6)</f>
        <v>357.90581630416</v>
      </c>
      <c r="H62" s="18">
        <f t="shared" si="5"/>
        <v>357.90581630416</v>
      </c>
      <c r="I62" s="18">
        <f t="shared" si="6"/>
        <v>-43.81103989956</v>
      </c>
      <c r="J62" s="34">
        <f t="shared" si="7"/>
        <v>-0.109059501046534</v>
      </c>
      <c r="K62" s="35" t="s">
        <v>86</v>
      </c>
    </row>
    <row r="63" customHeight="1" spans="1:11">
      <c r="A63" s="22">
        <v>9</v>
      </c>
      <c r="B63" s="22" t="s">
        <v>87</v>
      </c>
      <c r="C63" s="18"/>
      <c r="D63" s="18">
        <v>9.8273163119625</v>
      </c>
      <c r="E63" s="18">
        <f t="shared" si="8"/>
        <v>9.8273163119625</v>
      </c>
      <c r="F63" s="18"/>
      <c r="G63" s="18">
        <f>(15+20/8*(H4-20000)/10000)*0.65</f>
        <v>9.42003404745</v>
      </c>
      <c r="H63" s="18">
        <f t="shared" si="5"/>
        <v>9.42003404745</v>
      </c>
      <c r="I63" s="18">
        <f t="shared" si="6"/>
        <v>-0.407282264512499</v>
      </c>
      <c r="J63" s="34">
        <f t="shared" si="7"/>
        <v>-0.0414438949132762</v>
      </c>
      <c r="K63" s="35" t="s">
        <v>88</v>
      </c>
    </row>
    <row r="64" customHeight="1" spans="1:11">
      <c r="A64" s="22">
        <v>10</v>
      </c>
      <c r="B64" s="22" t="s">
        <v>89</v>
      </c>
      <c r="C64" s="18"/>
      <c r="D64" s="18">
        <v>20.475792689</v>
      </c>
      <c r="E64" s="18">
        <f t="shared" si="8"/>
        <v>20.475792689</v>
      </c>
      <c r="F64" s="18"/>
      <c r="G64" s="18">
        <f>H4*0.1%</f>
        <v>17.969440292</v>
      </c>
      <c r="H64" s="18">
        <f t="shared" si="5"/>
        <v>17.969440292</v>
      </c>
      <c r="I64" s="18">
        <f t="shared" si="6"/>
        <v>-2.506352397</v>
      </c>
      <c r="J64" s="34">
        <f t="shared" si="7"/>
        <v>-0.122405634549448</v>
      </c>
      <c r="K64" s="35" t="s">
        <v>90</v>
      </c>
    </row>
    <row r="65" customHeight="1" spans="1:11">
      <c r="A65" s="22">
        <v>11</v>
      </c>
      <c r="B65" s="22" t="s">
        <v>91</v>
      </c>
      <c r="C65" s="18"/>
      <c r="D65" s="18">
        <v>20.475792689</v>
      </c>
      <c r="E65" s="18">
        <f t="shared" si="8"/>
        <v>20.475792689</v>
      </c>
      <c r="F65" s="18"/>
      <c r="G65" s="18">
        <f>H4*0.1%</f>
        <v>17.969440292</v>
      </c>
      <c r="H65" s="18">
        <f t="shared" si="5"/>
        <v>17.969440292</v>
      </c>
      <c r="I65" s="18">
        <f t="shared" si="6"/>
        <v>-2.506352397</v>
      </c>
      <c r="J65" s="34">
        <f t="shared" si="7"/>
        <v>-0.122405634549448</v>
      </c>
      <c r="K65" s="35" t="s">
        <v>90</v>
      </c>
    </row>
    <row r="66" customHeight="1" spans="1:11">
      <c r="A66" s="22">
        <v>12</v>
      </c>
      <c r="B66" s="22" t="s">
        <v>92</v>
      </c>
      <c r="C66" s="18"/>
      <c r="D66" s="18">
        <v>40.951585378</v>
      </c>
      <c r="E66" s="18">
        <f t="shared" si="8"/>
        <v>40.951585378</v>
      </c>
      <c r="F66" s="18"/>
      <c r="G66" s="18">
        <f>H4*0.2%</f>
        <v>35.938880584</v>
      </c>
      <c r="H66" s="18">
        <f t="shared" si="5"/>
        <v>35.938880584</v>
      </c>
      <c r="I66" s="18">
        <f t="shared" si="6"/>
        <v>-5.012704794</v>
      </c>
      <c r="J66" s="34">
        <f t="shared" si="7"/>
        <v>-0.122405634549448</v>
      </c>
      <c r="K66" s="35" t="s">
        <v>93</v>
      </c>
    </row>
    <row r="67" customHeight="1" spans="1:11">
      <c r="A67" s="22">
        <v>13</v>
      </c>
      <c r="B67" s="22" t="s">
        <v>94</v>
      </c>
      <c r="C67" s="18"/>
      <c r="D67" s="18">
        <v>690</v>
      </c>
      <c r="E67" s="18">
        <f t="shared" si="8"/>
        <v>690</v>
      </c>
      <c r="F67" s="18"/>
      <c r="G67" s="18">
        <f>600*(4100+1000+6400)/10000</f>
        <v>690</v>
      </c>
      <c r="H67" s="18">
        <f t="shared" si="5"/>
        <v>690</v>
      </c>
      <c r="I67" s="18">
        <f t="shared" si="6"/>
        <v>0</v>
      </c>
      <c r="J67" s="34">
        <f t="shared" si="7"/>
        <v>0</v>
      </c>
      <c r="K67" s="35" t="s">
        <v>95</v>
      </c>
    </row>
    <row r="68" s="1" customFormat="1" customHeight="1" spans="1:11">
      <c r="A68" s="16" t="s">
        <v>96</v>
      </c>
      <c r="B68" s="16" t="s">
        <v>97</v>
      </c>
      <c r="C68" s="24"/>
      <c r="D68" s="19">
        <v>239.9685</v>
      </c>
      <c r="E68" s="19">
        <f t="shared" si="8"/>
        <v>239.9685</v>
      </c>
      <c r="F68" s="19"/>
      <c r="G68" s="19">
        <f>G69+G70</f>
        <v>285.8962</v>
      </c>
      <c r="H68" s="19">
        <f t="shared" si="5"/>
        <v>285.8962</v>
      </c>
      <c r="I68" s="19">
        <f t="shared" si="6"/>
        <v>45.9277</v>
      </c>
      <c r="J68" s="32">
        <f t="shared" si="7"/>
        <v>0.191390536674605</v>
      </c>
      <c r="K68" s="33"/>
    </row>
    <row r="69" s="2" customFormat="1" customHeight="1" spans="1:11">
      <c r="A69" s="22">
        <v>1</v>
      </c>
      <c r="B69" s="22" t="s">
        <v>98</v>
      </c>
      <c r="C69" s="26"/>
      <c r="D69" s="18">
        <v>244.75792689</v>
      </c>
      <c r="E69" s="18">
        <f t="shared" si="8"/>
        <v>244.75792689</v>
      </c>
      <c r="F69" s="18"/>
      <c r="G69" s="18">
        <f>140+(22089.62-10000)*1%</f>
        <v>260.8962</v>
      </c>
      <c r="H69" s="18">
        <f t="shared" si="5"/>
        <v>260.8962</v>
      </c>
      <c r="I69" s="18">
        <f t="shared" si="6"/>
        <v>16.13827311</v>
      </c>
      <c r="J69" s="34">
        <f t="shared" si="7"/>
        <v>0.0659356504406615</v>
      </c>
      <c r="K69" s="35" t="s">
        <v>99</v>
      </c>
    </row>
    <row r="70" s="2" customFormat="1" customHeight="1" spans="1:11">
      <c r="A70" s="22">
        <v>2</v>
      </c>
      <c r="B70" s="22" t="s">
        <v>100</v>
      </c>
      <c r="C70" s="26"/>
      <c r="D70" s="18">
        <v>0</v>
      </c>
      <c r="E70" s="18">
        <v>0</v>
      </c>
      <c r="F70" s="18"/>
      <c r="G70" s="18">
        <v>25</v>
      </c>
      <c r="H70" s="18">
        <f t="shared" si="5"/>
        <v>25</v>
      </c>
      <c r="I70" s="18">
        <f t="shared" si="6"/>
        <v>25</v>
      </c>
      <c r="J70" s="34"/>
      <c r="K70" s="35" t="s">
        <v>101</v>
      </c>
    </row>
    <row r="71" s="1" customFormat="1" customHeight="1" spans="1:11">
      <c r="A71" s="16" t="s">
        <v>102</v>
      </c>
      <c r="B71" s="16" t="s">
        <v>6</v>
      </c>
      <c r="C71" s="24"/>
      <c r="D71" s="20">
        <v>137.98425</v>
      </c>
      <c r="E71" s="19">
        <f t="shared" ref="E71:E78" si="9">+C71+D71</f>
        <v>137.98425</v>
      </c>
      <c r="F71" s="19"/>
      <c r="G71" s="19">
        <f>G72+G73+G74</f>
        <v>181.755522336</v>
      </c>
      <c r="H71" s="19">
        <f t="shared" si="5"/>
        <v>181.755522336</v>
      </c>
      <c r="I71" s="19">
        <f t="shared" si="6"/>
        <v>43.771272336</v>
      </c>
      <c r="J71" s="32">
        <f t="shared" ref="J71:J79" si="10">I71/E71</f>
        <v>0.317219337250447</v>
      </c>
      <c r="K71" s="33"/>
    </row>
    <row r="72" s="2" customFormat="1" customHeight="1" spans="1:11">
      <c r="A72" s="22">
        <v>1</v>
      </c>
      <c r="B72" s="22" t="s">
        <v>103</v>
      </c>
      <c r="C72" s="26"/>
      <c r="D72" s="23">
        <v>40.951585378</v>
      </c>
      <c r="E72" s="18">
        <f t="shared" si="9"/>
        <v>40.951585378</v>
      </c>
      <c r="F72" s="18"/>
      <c r="G72" s="18">
        <f>H4*0.5%</f>
        <v>89.84720146</v>
      </c>
      <c r="H72" s="18">
        <f t="shared" si="5"/>
        <v>89.84720146</v>
      </c>
      <c r="I72" s="18">
        <f t="shared" si="6"/>
        <v>48.895616082</v>
      </c>
      <c r="J72" s="34">
        <f t="shared" si="10"/>
        <v>1.19398591362638</v>
      </c>
      <c r="K72" s="35" t="s">
        <v>104</v>
      </c>
    </row>
    <row r="73" s="2" customFormat="1" customHeight="1" spans="1:11">
      <c r="A73" s="22">
        <v>2</v>
      </c>
      <c r="B73" s="22" t="s">
        <v>105</v>
      </c>
      <c r="C73" s="26"/>
      <c r="D73" s="23">
        <v>61.427378067</v>
      </c>
      <c r="E73" s="18">
        <f t="shared" si="9"/>
        <v>61.427378067</v>
      </c>
      <c r="F73" s="18"/>
      <c r="G73" s="18">
        <f>H4*0.3%</f>
        <v>53.908320876</v>
      </c>
      <c r="H73" s="18">
        <f t="shared" si="5"/>
        <v>53.908320876</v>
      </c>
      <c r="I73" s="18">
        <f t="shared" si="6"/>
        <v>-7.519057191</v>
      </c>
      <c r="J73" s="34">
        <f t="shared" si="10"/>
        <v>-0.122405634549448</v>
      </c>
      <c r="K73" s="35" t="s">
        <v>106</v>
      </c>
    </row>
    <row r="74" s="2" customFormat="1" customHeight="1" spans="1:11">
      <c r="A74" s="22">
        <v>3</v>
      </c>
      <c r="B74" s="22" t="s">
        <v>107</v>
      </c>
      <c r="C74" s="26"/>
      <c r="D74" s="23">
        <v>38</v>
      </c>
      <c r="E74" s="18">
        <f t="shared" si="9"/>
        <v>38</v>
      </c>
      <c r="F74" s="18"/>
      <c r="G74" s="18">
        <v>38</v>
      </c>
      <c r="H74" s="18">
        <f t="shared" si="5"/>
        <v>38</v>
      </c>
      <c r="I74" s="18">
        <f t="shared" si="6"/>
        <v>0</v>
      </c>
      <c r="J74" s="34">
        <f t="shared" si="10"/>
        <v>0</v>
      </c>
      <c r="K74" s="35" t="s">
        <v>108</v>
      </c>
    </row>
    <row r="75" s="1" customFormat="1" customHeight="1" spans="1:11">
      <c r="A75" s="40" t="s">
        <v>109</v>
      </c>
      <c r="B75" s="33" t="s">
        <v>110</v>
      </c>
      <c r="C75" s="19"/>
      <c r="D75" s="19">
        <f>D76</f>
        <v>668.303678145424</v>
      </c>
      <c r="E75" s="19">
        <f t="shared" si="9"/>
        <v>668.303678145424</v>
      </c>
      <c r="F75" s="19"/>
      <c r="G75" s="19">
        <f>+G76</f>
        <v>1024.47024462077</v>
      </c>
      <c r="H75" s="19">
        <f t="shared" si="5"/>
        <v>1024.47024462077</v>
      </c>
      <c r="I75" s="19">
        <f t="shared" si="6"/>
        <v>356.166566475349</v>
      </c>
      <c r="J75" s="32">
        <f t="shared" si="10"/>
        <v>0.532941203411792</v>
      </c>
      <c r="K75" s="33"/>
    </row>
    <row r="76" customHeight="1" spans="1:11">
      <c r="A76" s="36">
        <v>1</v>
      </c>
      <c r="B76" s="35" t="s">
        <v>111</v>
      </c>
      <c r="C76" s="18"/>
      <c r="D76" s="18">
        <v>668.303678145424</v>
      </c>
      <c r="E76" s="18">
        <f t="shared" si="9"/>
        <v>668.303678145424</v>
      </c>
      <c r="F76" s="18"/>
      <c r="G76" s="18">
        <f>+(H4+H42)*5%</f>
        <v>1024.47024462077</v>
      </c>
      <c r="H76" s="18">
        <f t="shared" si="5"/>
        <v>1024.47024462077</v>
      </c>
      <c r="I76" s="18">
        <f t="shared" si="6"/>
        <v>356.166566475349</v>
      </c>
      <c r="J76" s="34">
        <f t="shared" si="10"/>
        <v>0.532941203411792</v>
      </c>
      <c r="K76" s="35" t="s">
        <v>112</v>
      </c>
    </row>
    <row r="77" s="1" customFormat="1" customHeight="1" spans="1:11">
      <c r="A77" s="40" t="s">
        <v>113</v>
      </c>
      <c r="B77" s="33" t="s">
        <v>114</v>
      </c>
      <c r="C77" s="19"/>
      <c r="D77" s="19">
        <v>575.75</v>
      </c>
      <c r="E77" s="19">
        <f t="shared" si="9"/>
        <v>575.75</v>
      </c>
      <c r="F77" s="19"/>
      <c r="G77" s="19">
        <v>575.75</v>
      </c>
      <c r="H77" s="19">
        <f t="shared" si="5"/>
        <v>575.75</v>
      </c>
      <c r="I77" s="19">
        <f t="shared" si="6"/>
        <v>0</v>
      </c>
      <c r="J77" s="32">
        <f t="shared" si="10"/>
        <v>0</v>
      </c>
      <c r="K77" s="35" t="s">
        <v>115</v>
      </c>
    </row>
    <row r="78" s="1" customFormat="1" customHeight="1" spans="1:11">
      <c r="A78" s="40" t="s">
        <v>116</v>
      </c>
      <c r="B78" s="33" t="s">
        <v>117</v>
      </c>
      <c r="C78" s="19"/>
      <c r="D78" s="19">
        <f>D77+D75+D42+E4</f>
        <v>24311.8770166425</v>
      </c>
      <c r="E78" s="19">
        <f t="shared" si="9"/>
        <v>24311.8770166425</v>
      </c>
      <c r="F78" s="19"/>
      <c r="G78" s="19"/>
      <c r="H78" s="19">
        <f>H77+H75+H42+H4</f>
        <v>22089.6251370362</v>
      </c>
      <c r="I78" s="19">
        <f t="shared" si="6"/>
        <v>-2222.25187960626</v>
      </c>
      <c r="J78" s="32">
        <f t="shared" si="10"/>
        <v>-0.0914060184692871</v>
      </c>
      <c r="K78" s="33" t="s">
        <v>118</v>
      </c>
    </row>
    <row r="79" s="2" customFormat="1" ht="36" hidden="1" customHeight="1" spans="2:11">
      <c r="B79" s="3"/>
      <c r="C79" s="4"/>
      <c r="D79" s="41" t="s">
        <v>119</v>
      </c>
      <c r="E79" s="41">
        <v>23176.94</v>
      </c>
      <c r="F79" s="41"/>
      <c r="G79" s="41"/>
      <c r="H79" s="41">
        <f>H78</f>
        <v>22089.6251370362</v>
      </c>
      <c r="I79" s="41">
        <f t="shared" si="6"/>
        <v>-1087.31486296376</v>
      </c>
      <c r="J79" s="42">
        <f t="shared" si="10"/>
        <v>-0.0469136505062257</v>
      </c>
      <c r="K79" s="43"/>
    </row>
  </sheetData>
  <mergeCells count="4">
    <mergeCell ref="A1:K1"/>
    <mergeCell ref="A2:K2"/>
    <mergeCell ref="C3:E3"/>
    <mergeCell ref="K52:K54"/>
  </mergeCells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2020-05-22T01:01:00Z</dcterms:created>
  <dcterms:modified xsi:type="dcterms:W3CDTF">2022-06-06T03:07:33Z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747501E4DE31401BABE446121F41384E</vt:lpwstr>
  </property>
</Properties>
</file>