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<sst xmlns="http://schemas.openxmlformats.org/spreadsheetml/2006/main" count="124" uniqueCount="107">
  <si>
    <t>重庆市大足区宝兴中学学生食堂及宿舍建设工程概算对比表</t>
  </si>
  <si>
    <t>序号</t>
  </si>
  <si>
    <t>项目及费用名称</t>
  </si>
  <si>
    <t>送审概算（万元）</t>
  </si>
  <si>
    <t>审核概算（万元）</t>
  </si>
  <si>
    <t>审增减
金额
（万元）</t>
  </si>
  <si>
    <t>审增减率</t>
  </si>
  <si>
    <t>备注</t>
  </si>
  <si>
    <t>建筑工程费</t>
  </si>
  <si>
    <t>安装工程费</t>
  </si>
  <si>
    <t>设备工程</t>
  </si>
  <si>
    <t>其他费用</t>
  </si>
  <si>
    <t>合计</t>
  </si>
  <si>
    <t>一</t>
  </si>
  <si>
    <t>工程费用</t>
  </si>
  <si>
    <t>(一)</t>
  </si>
  <si>
    <t>土建工程</t>
  </si>
  <si>
    <t>1</t>
  </si>
  <si>
    <t>原有建筑拆除</t>
  </si>
  <si>
    <t>按19万暂估</t>
  </si>
  <si>
    <t>2</t>
  </si>
  <si>
    <t>基础工程</t>
  </si>
  <si>
    <t>3</t>
  </si>
  <si>
    <t>主体工程</t>
  </si>
  <si>
    <t>(二)</t>
  </si>
  <si>
    <t>室内装饰工程</t>
  </si>
  <si>
    <t>精装部分暂按750元/m2计算。</t>
  </si>
  <si>
    <t>(三)</t>
  </si>
  <si>
    <t>安装工程</t>
  </si>
  <si>
    <t>电气工程</t>
  </si>
  <si>
    <t>给排水工程</t>
  </si>
  <si>
    <t>火灾报警工程</t>
  </si>
  <si>
    <t>4</t>
  </si>
  <si>
    <t>新风空调工程</t>
  </si>
  <si>
    <t>5</t>
  </si>
  <si>
    <t>通风防排烟工程</t>
  </si>
  <si>
    <t>6</t>
  </si>
  <si>
    <t>弱电智能化工程</t>
  </si>
  <si>
    <t>弱电智能化工程暂按110元/m2计算</t>
  </si>
  <si>
    <t>7</t>
  </si>
  <si>
    <t>燃气工程</t>
  </si>
  <si>
    <t>燃气工程暂按65元/m2计算</t>
  </si>
  <si>
    <t>8</t>
  </si>
  <si>
    <t>抗震支架</t>
  </si>
  <si>
    <t>抗震支架暂按20元/m2计算</t>
  </si>
  <si>
    <t>9</t>
  </si>
  <si>
    <t>太阳能光伏</t>
  </si>
  <si>
    <t>按6万元暂估</t>
  </si>
  <si>
    <t>10</t>
  </si>
  <si>
    <t>供水、供气、通讯通道费用</t>
  </si>
  <si>
    <t>按5万元暂估</t>
  </si>
  <si>
    <t>(四)</t>
  </si>
  <si>
    <t>室外总图及其他工程</t>
  </si>
  <si>
    <t>室外景观</t>
  </si>
  <si>
    <t>室外管网工程</t>
  </si>
  <si>
    <t>按49.8万暂估，包含综合管网、箱变等</t>
  </si>
  <si>
    <t>土石方工程</t>
  </si>
  <si>
    <t>边坡支护工程</t>
  </si>
  <si>
    <t>(五)</t>
  </si>
  <si>
    <t>设施设备</t>
  </si>
  <si>
    <t>包含学生食堂、会议室设备,暂按可研计算</t>
  </si>
  <si>
    <t>二</t>
  </si>
  <si>
    <t>工程建设其他费</t>
  </si>
  <si>
    <t>可行性研究报告</t>
  </si>
  <si>
    <t>按合同金额计取</t>
  </si>
  <si>
    <t>工程勘察设计费用</t>
  </si>
  <si>
    <t>工程勘察费</t>
  </si>
  <si>
    <t>勘察成果审查费</t>
  </si>
  <si>
    <t>勘察外业见证费</t>
  </si>
  <si>
    <t>工程设计费</t>
  </si>
  <si>
    <t>按发改价格〔2015〕299号文并结合计价格〔2002〕10号文计取</t>
  </si>
  <si>
    <t>施工图审查费</t>
  </si>
  <si>
    <t>渝设协字〔2019〕05号结合市场价</t>
  </si>
  <si>
    <t>招标代理费</t>
  </si>
  <si>
    <t>按计价格〔2002〕1980号文计取</t>
  </si>
  <si>
    <t>工程造价咨询服务费</t>
  </si>
  <si>
    <t>概算审查费</t>
  </si>
  <si>
    <t>该费用为发改委支付</t>
  </si>
  <si>
    <t>工程量清单及组价编制费</t>
  </si>
  <si>
    <t xml:space="preserve">《重庆市建筑安装工程设计概算编制办法》CQGSBF-JA—2021 </t>
  </si>
  <si>
    <t>工程量清单及组价审核费</t>
  </si>
  <si>
    <t>工程量清单施工阶段工程造价全过程控制</t>
  </si>
  <si>
    <t>安全生产保障费</t>
  </si>
  <si>
    <t>按工程费*0.5%</t>
  </si>
  <si>
    <t>工程建设监理费</t>
  </si>
  <si>
    <t>提级论证</t>
  </si>
  <si>
    <t>城市建设配套费</t>
  </si>
  <si>
    <t>按大足府发〔2019〕4号文计取</t>
  </si>
  <si>
    <t>人防工程易地建设费</t>
  </si>
  <si>
    <t>渝价[2010]230号文</t>
  </si>
  <si>
    <t>防雷工程设计审核及检测费</t>
  </si>
  <si>
    <t>渝价[2012]410号</t>
  </si>
  <si>
    <t>项目建设管理费</t>
  </si>
  <si>
    <t>按财建〔2016〕504号文计取</t>
  </si>
  <si>
    <t>建设工程招标投标交易服务费</t>
  </si>
  <si>
    <t>按渝价[2018]54号文计取</t>
  </si>
  <si>
    <t>场地准备及临时设施费</t>
  </si>
  <si>
    <t>按工程费*0.4%</t>
  </si>
  <si>
    <t>工程保险费</t>
  </si>
  <si>
    <t>按工程费*0.3%</t>
  </si>
  <si>
    <t>三</t>
  </si>
  <si>
    <t>预备费</t>
  </si>
  <si>
    <t>基本预备费</t>
  </si>
  <si>
    <t>（一+二）*3%</t>
  </si>
  <si>
    <t>四</t>
  </si>
  <si>
    <t>建设项目总投资</t>
  </si>
  <si>
    <t>一+二+三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</si>
</sst>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1"/>
      <name val="仿宋"/>
      <charset val="134"/>
    </font>
    <font>
      <b/>
      <sz val="11"/>
      <name val="仿宋"/>
      <charset val="20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protection locked="0"/>
    </xf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51" applyNumberFormat="1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蔡家组团L、R标准分区道路工程横二路R区段概算总表" xfId="49"/>
    <cellStyle name="常规 9" xfId="50"/>
    <cellStyle name="常规_2007HZ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workbookViewId="0">
      <pane ySplit="4" topLeftCell="A44" activePane="bottomLeft" state="frozen"/>
      <selection/>
      <selection pane="bottomLeft" activeCell="L53" sqref="L53"/>
    </sheetView>
  </sheetViews>
  <sheetFormatPr defaultColWidth="9" defaultRowHeight="34" customHeight="1"/>
  <cols>
    <col min="1" max="1" width="7" style="2" customWidth="1"/>
    <col min="2" max="2" width="18.625" style="3" customWidth="1"/>
    <col min="3" max="4" width="11.25" style="4" customWidth="1"/>
    <col min="5" max="5" width="9.125" style="4" customWidth="1"/>
    <col min="6" max="7" width="9.25" style="4" customWidth="1"/>
    <col min="8" max="9" width="11.25" style="4" customWidth="1"/>
    <col min="10" max="11" width="9.125" style="4" customWidth="1"/>
    <col min="12" max="13" width="9.25" style="4" customWidth="1"/>
    <col min="14" max="14" width="9.375" style="5" customWidth="1"/>
    <col min="15" max="15" width="30.625" style="3" customWidth="1"/>
    <col min="16" max="16" width="11.5" style="2" customWidth="1"/>
    <col min="17" max="17" width="9" style="2"/>
    <col min="18" max="18" width="14.125" style="2"/>
    <col min="19" max="16384" width="9" style="2"/>
  </cols>
  <sheetData>
    <row r="1" customHeight="1" spans="1:15">
      <c r="A1" s="6" t="s">
        <v>0</v>
      </c>
      <c r="B1" s="6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29"/>
      <c r="O1" s="7"/>
    </row>
    <row r="2" customHeight="1" spans="1:15">
      <c r="A2" s="9" t="s">
        <v>1</v>
      </c>
      <c r="B2" s="9" t="s">
        <v>2</v>
      </c>
      <c r="C2" s="10" t="s">
        <v>3</v>
      </c>
      <c r="D2" s="10"/>
      <c r="E2" s="10"/>
      <c r="F2" s="10"/>
      <c r="G2" s="11"/>
      <c r="H2" s="10" t="s">
        <v>4</v>
      </c>
      <c r="I2" s="10"/>
      <c r="J2" s="10"/>
      <c r="K2" s="10"/>
      <c r="L2" s="10"/>
      <c r="M2" s="10" t="s">
        <v>5</v>
      </c>
      <c r="N2" s="30" t="s">
        <v>6</v>
      </c>
      <c r="O2" s="10" t="s">
        <v>7</v>
      </c>
    </row>
    <row r="3" customHeight="1" spans="1:15">
      <c r="A3" s="9"/>
      <c r="B3" s="9"/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/>
      <c r="N3" s="30"/>
      <c r="O3" s="10"/>
    </row>
    <row r="4" s="1" customFormat="1" customHeight="1" spans="1:15">
      <c r="A4" s="12" t="s">
        <v>13</v>
      </c>
      <c r="B4" s="13" t="s">
        <v>14</v>
      </c>
      <c r="C4" s="14">
        <f t="shared" ref="C4:F4" si="0">+C5+C9+C10+C21+C26</f>
        <v>570.487672</v>
      </c>
      <c r="D4" s="14">
        <f t="shared" si="0"/>
        <v>187.581753</v>
      </c>
      <c r="E4" s="14">
        <f t="shared" si="0"/>
        <v>51.011</v>
      </c>
      <c r="F4" s="14">
        <f t="shared" si="0"/>
        <v>0</v>
      </c>
      <c r="G4" s="10">
        <f>+C4+D4+E4+F4</f>
        <v>809.080425</v>
      </c>
      <c r="H4" s="14">
        <f>+H5+H9+H10+H21+H26</f>
        <v>548.467656</v>
      </c>
      <c r="I4" s="14">
        <f>+I5+I9+I10+I21+I26</f>
        <v>181.606184</v>
      </c>
      <c r="J4" s="14">
        <f>+J5+J9+J10+J21+J26</f>
        <v>51.011</v>
      </c>
      <c r="K4" s="14">
        <f>+K5+K9+K10+K21+K26</f>
        <v>0</v>
      </c>
      <c r="L4" s="10">
        <f>+H4+I4+J4+K4</f>
        <v>781.08484</v>
      </c>
      <c r="M4" s="10">
        <f>L4-G4</f>
        <v>-27.9955850000001</v>
      </c>
      <c r="N4" s="30">
        <f>M4/G4</f>
        <v>-0.0346017331960542</v>
      </c>
      <c r="O4" s="9"/>
    </row>
    <row r="5" s="1" customFormat="1" customHeight="1" spans="1:15">
      <c r="A5" s="12" t="s">
        <v>15</v>
      </c>
      <c r="B5" s="13" t="s">
        <v>16</v>
      </c>
      <c r="C5" s="14">
        <v>380.865689</v>
      </c>
      <c r="D5" s="15"/>
      <c r="E5" s="15"/>
      <c r="F5" s="15"/>
      <c r="G5" s="10">
        <f t="shared" ref="G5:G50" si="1">+C5+D5+E5+F5</f>
        <v>380.865689</v>
      </c>
      <c r="H5" s="14">
        <f>SUM(H6:H8)</f>
        <v>370.938145</v>
      </c>
      <c r="I5" s="15"/>
      <c r="J5" s="15"/>
      <c r="K5" s="15"/>
      <c r="L5" s="10">
        <f t="shared" ref="L4:L27" si="2">+H5+I5+J5+K5</f>
        <v>370.938145</v>
      </c>
      <c r="M5" s="10">
        <f t="shared" ref="M5:M53" si="3">L5-G5</f>
        <v>-9.92754400000001</v>
      </c>
      <c r="N5" s="30">
        <f t="shared" ref="N5:N53" si="4">M5/G5</f>
        <v>-0.026065734684754</v>
      </c>
      <c r="O5" s="9"/>
    </row>
    <row r="6" customHeight="1" spans="1:15">
      <c r="A6" s="16" t="s">
        <v>17</v>
      </c>
      <c r="B6" s="17" t="s">
        <v>18</v>
      </c>
      <c r="C6" s="18">
        <v>19</v>
      </c>
      <c r="D6" s="18"/>
      <c r="E6" s="18"/>
      <c r="F6" s="18"/>
      <c r="G6" s="11">
        <f t="shared" si="1"/>
        <v>19</v>
      </c>
      <c r="H6" s="18">
        <v>19</v>
      </c>
      <c r="I6" s="18"/>
      <c r="J6" s="18"/>
      <c r="K6" s="18"/>
      <c r="L6" s="11">
        <f t="shared" si="2"/>
        <v>19</v>
      </c>
      <c r="M6" s="11">
        <f t="shared" si="3"/>
        <v>0</v>
      </c>
      <c r="N6" s="31">
        <f t="shared" si="4"/>
        <v>0</v>
      </c>
      <c r="O6" s="17" t="s">
        <v>19</v>
      </c>
    </row>
    <row r="7" customHeight="1" spans="1:15">
      <c r="A7" s="16" t="s">
        <v>20</v>
      </c>
      <c r="B7" s="17" t="s">
        <v>21</v>
      </c>
      <c r="C7" s="18">
        <v>50.940923</v>
      </c>
      <c r="D7" s="18"/>
      <c r="E7" s="18"/>
      <c r="F7" s="18"/>
      <c r="G7" s="11">
        <f t="shared" si="1"/>
        <v>50.940923</v>
      </c>
      <c r="H7" s="18">
        <f>499613.55/10000</f>
        <v>49.961355</v>
      </c>
      <c r="I7" s="18"/>
      <c r="J7" s="18"/>
      <c r="K7" s="18"/>
      <c r="L7" s="11">
        <f t="shared" si="2"/>
        <v>49.961355</v>
      </c>
      <c r="M7" s="11">
        <f t="shared" si="3"/>
        <v>-0.979568</v>
      </c>
      <c r="N7" s="31">
        <f t="shared" si="4"/>
        <v>-0.0192294906003176</v>
      </c>
      <c r="O7" s="17"/>
    </row>
    <row r="8" customHeight="1" spans="1:15">
      <c r="A8" s="16" t="s">
        <v>22</v>
      </c>
      <c r="B8" s="17" t="s">
        <v>23</v>
      </c>
      <c r="C8" s="18">
        <v>310.924766</v>
      </c>
      <c r="D8" s="18"/>
      <c r="E8" s="18"/>
      <c r="F8" s="18"/>
      <c r="G8" s="11">
        <f t="shared" si="1"/>
        <v>310.924766</v>
      </c>
      <c r="H8" s="18">
        <f>3019767.9/10000</f>
        <v>301.97679</v>
      </c>
      <c r="I8" s="18"/>
      <c r="J8" s="18"/>
      <c r="K8" s="18"/>
      <c r="L8" s="11">
        <f t="shared" si="2"/>
        <v>301.97679</v>
      </c>
      <c r="M8" s="11">
        <f t="shared" si="3"/>
        <v>-8.94797599999998</v>
      </c>
      <c r="N8" s="31">
        <f t="shared" si="4"/>
        <v>-0.0287785888371465</v>
      </c>
      <c r="O8" s="17"/>
    </row>
    <row r="9" s="1" customFormat="1" customHeight="1" spans="1:15">
      <c r="A9" s="19" t="s">
        <v>24</v>
      </c>
      <c r="B9" s="9" t="s">
        <v>25</v>
      </c>
      <c r="C9" s="20">
        <v>104.54864</v>
      </c>
      <c r="D9" s="20"/>
      <c r="E9" s="20"/>
      <c r="F9" s="20"/>
      <c r="G9" s="10">
        <f t="shared" si="1"/>
        <v>104.54864</v>
      </c>
      <c r="H9" s="20">
        <f>1375.64*750/10000</f>
        <v>103.173</v>
      </c>
      <c r="I9" s="20"/>
      <c r="J9" s="20"/>
      <c r="K9" s="20"/>
      <c r="L9" s="10">
        <f t="shared" si="2"/>
        <v>103.173</v>
      </c>
      <c r="M9" s="10">
        <f t="shared" si="3"/>
        <v>-1.37564</v>
      </c>
      <c r="N9" s="30">
        <f t="shared" si="4"/>
        <v>-0.0131578947368421</v>
      </c>
      <c r="O9" s="9" t="s">
        <v>26</v>
      </c>
    </row>
    <row r="10" s="1" customFormat="1" customHeight="1" spans="1:15">
      <c r="A10" s="19" t="s">
        <v>27</v>
      </c>
      <c r="B10" s="9" t="s">
        <v>28</v>
      </c>
      <c r="C10" s="20"/>
      <c r="D10" s="20">
        <v>137.776769</v>
      </c>
      <c r="E10" s="20"/>
      <c r="F10" s="20"/>
      <c r="G10" s="10">
        <f t="shared" si="1"/>
        <v>137.776769</v>
      </c>
      <c r="H10" s="20">
        <f>SUM(H11:H20)</f>
        <v>0</v>
      </c>
      <c r="I10" s="20">
        <f>SUM(I11:I20)</f>
        <v>131.806184</v>
      </c>
      <c r="J10" s="20">
        <f>SUM(J11:J20)</f>
        <v>0</v>
      </c>
      <c r="K10" s="20">
        <f>SUM(K11:K20)</f>
        <v>0</v>
      </c>
      <c r="L10" s="10">
        <f t="shared" si="2"/>
        <v>131.806184</v>
      </c>
      <c r="M10" s="10">
        <f t="shared" si="3"/>
        <v>-5.970585</v>
      </c>
      <c r="N10" s="30">
        <f t="shared" si="4"/>
        <v>-0.0433352084196429</v>
      </c>
      <c r="O10" s="9"/>
    </row>
    <row r="11" customHeight="1" spans="1:15">
      <c r="A11" s="16" t="s">
        <v>17</v>
      </c>
      <c r="B11" s="17" t="s">
        <v>29</v>
      </c>
      <c r="C11" s="18"/>
      <c r="D11" s="18">
        <v>50.30503</v>
      </c>
      <c r="E11" s="18"/>
      <c r="F11" s="18"/>
      <c r="G11" s="11">
        <f t="shared" si="1"/>
        <v>50.30503</v>
      </c>
      <c r="H11" s="18"/>
      <c r="I11" s="18">
        <f>481162.05/10000</f>
        <v>48.116205</v>
      </c>
      <c r="J11" s="18"/>
      <c r="K11" s="18"/>
      <c r="L11" s="11">
        <f t="shared" si="2"/>
        <v>48.116205</v>
      </c>
      <c r="M11" s="11">
        <f t="shared" si="3"/>
        <v>-2.188825</v>
      </c>
      <c r="N11" s="31">
        <f t="shared" si="4"/>
        <v>-0.0435110564490271</v>
      </c>
      <c r="O11" s="17"/>
    </row>
    <row r="12" customHeight="1" spans="1:15">
      <c r="A12" s="16" t="s">
        <v>20</v>
      </c>
      <c r="B12" s="17" t="s">
        <v>30</v>
      </c>
      <c r="C12" s="18"/>
      <c r="D12" s="18">
        <v>15.666424</v>
      </c>
      <c r="E12" s="18"/>
      <c r="F12" s="18"/>
      <c r="G12" s="11">
        <f t="shared" si="1"/>
        <v>15.666424</v>
      </c>
      <c r="H12" s="18"/>
      <c r="I12" s="18">
        <f>134887.04/10000</f>
        <v>13.488704</v>
      </c>
      <c r="J12" s="18"/>
      <c r="K12" s="18"/>
      <c r="L12" s="11">
        <f t="shared" si="2"/>
        <v>13.488704</v>
      </c>
      <c r="M12" s="11">
        <f t="shared" si="3"/>
        <v>-2.17772</v>
      </c>
      <c r="N12" s="31">
        <f t="shared" si="4"/>
        <v>-0.139005557362676</v>
      </c>
      <c r="O12" s="17"/>
    </row>
    <row r="13" customHeight="1" spans="1:15">
      <c r="A13" s="16" t="s">
        <v>22</v>
      </c>
      <c r="B13" s="17" t="s">
        <v>31</v>
      </c>
      <c r="C13" s="18"/>
      <c r="D13" s="18">
        <v>5.225135</v>
      </c>
      <c r="E13" s="18"/>
      <c r="F13" s="18"/>
      <c r="G13" s="11">
        <f t="shared" si="1"/>
        <v>5.225135</v>
      </c>
      <c r="H13" s="18"/>
      <c r="I13" s="18">
        <f>52005.47/10000</f>
        <v>5.200547</v>
      </c>
      <c r="J13" s="18"/>
      <c r="K13" s="18"/>
      <c r="L13" s="11">
        <f t="shared" si="2"/>
        <v>5.200547</v>
      </c>
      <c r="M13" s="11">
        <f t="shared" si="3"/>
        <v>-0.0245879999999996</v>
      </c>
      <c r="N13" s="31">
        <f t="shared" si="4"/>
        <v>-0.00470571573748805</v>
      </c>
      <c r="O13" s="17"/>
    </row>
    <row r="14" customHeight="1" spans="1:15">
      <c r="A14" s="16" t="s">
        <v>32</v>
      </c>
      <c r="B14" s="17" t="s">
        <v>33</v>
      </c>
      <c r="C14" s="18"/>
      <c r="D14" s="18">
        <v>17.697235</v>
      </c>
      <c r="E14" s="18"/>
      <c r="F14" s="18"/>
      <c r="G14" s="11">
        <f t="shared" si="1"/>
        <v>17.697235</v>
      </c>
      <c r="H14" s="18"/>
      <c r="I14" s="18">
        <f>164976.02/10000</f>
        <v>16.497602</v>
      </c>
      <c r="J14" s="18"/>
      <c r="K14" s="18"/>
      <c r="L14" s="11">
        <f t="shared" si="2"/>
        <v>16.497602</v>
      </c>
      <c r="M14" s="11">
        <f t="shared" si="3"/>
        <v>-1.199633</v>
      </c>
      <c r="N14" s="31">
        <f t="shared" si="4"/>
        <v>-0.0677864649477728</v>
      </c>
      <c r="O14" s="17"/>
    </row>
    <row r="15" customHeight="1" spans="1:15">
      <c r="A15" s="16" t="s">
        <v>34</v>
      </c>
      <c r="B15" s="17" t="s">
        <v>35</v>
      </c>
      <c r="C15" s="18"/>
      <c r="D15" s="18">
        <v>11.057965</v>
      </c>
      <c r="E15" s="18"/>
      <c r="F15" s="18"/>
      <c r="G15" s="11">
        <f t="shared" si="1"/>
        <v>11.057965</v>
      </c>
      <c r="H15" s="18"/>
      <c r="I15" s="18">
        <f>106781.46/10000</f>
        <v>10.678146</v>
      </c>
      <c r="J15" s="18"/>
      <c r="K15" s="18"/>
      <c r="L15" s="11">
        <f t="shared" si="2"/>
        <v>10.678146</v>
      </c>
      <c r="M15" s="11">
        <f t="shared" si="3"/>
        <v>-0.379818999999999</v>
      </c>
      <c r="N15" s="31">
        <f t="shared" si="4"/>
        <v>-0.0343480016440638</v>
      </c>
      <c r="O15" s="17"/>
    </row>
    <row r="16" customHeight="1" spans="1:15">
      <c r="A16" s="16" t="s">
        <v>36</v>
      </c>
      <c r="B16" s="17" t="s">
        <v>37</v>
      </c>
      <c r="C16" s="18"/>
      <c r="D16" s="18">
        <v>15.13204</v>
      </c>
      <c r="E16" s="18"/>
      <c r="F16" s="18"/>
      <c r="G16" s="11">
        <f t="shared" si="1"/>
        <v>15.13204</v>
      </c>
      <c r="H16" s="18"/>
      <c r="I16" s="18">
        <f>1375.64*110/10000</f>
        <v>15.13204</v>
      </c>
      <c r="J16" s="18"/>
      <c r="K16" s="18"/>
      <c r="L16" s="11">
        <f t="shared" si="2"/>
        <v>15.13204</v>
      </c>
      <c r="M16" s="11">
        <f t="shared" si="3"/>
        <v>0</v>
      </c>
      <c r="N16" s="31">
        <f t="shared" si="4"/>
        <v>0</v>
      </c>
      <c r="O16" s="17" t="s">
        <v>38</v>
      </c>
    </row>
    <row r="17" customHeight="1" spans="1:15">
      <c r="A17" s="16" t="s">
        <v>39</v>
      </c>
      <c r="B17" s="17" t="s">
        <v>40</v>
      </c>
      <c r="C17" s="18"/>
      <c r="D17" s="18">
        <v>8.94166</v>
      </c>
      <c r="E17" s="18"/>
      <c r="F17" s="18"/>
      <c r="G17" s="11">
        <f t="shared" si="1"/>
        <v>8.94166</v>
      </c>
      <c r="H17" s="18"/>
      <c r="I17" s="18">
        <f>1375.64*65/10000</f>
        <v>8.94166</v>
      </c>
      <c r="J17" s="18"/>
      <c r="K17" s="18"/>
      <c r="L17" s="11">
        <f t="shared" si="2"/>
        <v>8.94166</v>
      </c>
      <c r="M17" s="11">
        <f t="shared" si="3"/>
        <v>0</v>
      </c>
      <c r="N17" s="31">
        <f t="shared" si="4"/>
        <v>0</v>
      </c>
      <c r="O17" s="17" t="s">
        <v>41</v>
      </c>
    </row>
    <row r="18" customHeight="1" spans="1:15">
      <c r="A18" s="16" t="s">
        <v>42</v>
      </c>
      <c r="B18" s="17" t="s">
        <v>43</v>
      </c>
      <c r="C18" s="18"/>
      <c r="D18" s="18">
        <v>2.75128</v>
      </c>
      <c r="E18" s="18"/>
      <c r="F18" s="18"/>
      <c r="G18" s="11">
        <f t="shared" si="1"/>
        <v>2.75128</v>
      </c>
      <c r="H18" s="18"/>
      <c r="I18" s="18">
        <f>1375.64*20/10000</f>
        <v>2.75128</v>
      </c>
      <c r="J18" s="18"/>
      <c r="K18" s="18"/>
      <c r="L18" s="11">
        <f t="shared" si="2"/>
        <v>2.75128</v>
      </c>
      <c r="M18" s="11">
        <f t="shared" si="3"/>
        <v>0</v>
      </c>
      <c r="N18" s="31">
        <f t="shared" si="4"/>
        <v>0</v>
      </c>
      <c r="O18" s="17" t="s">
        <v>44</v>
      </c>
    </row>
    <row r="19" customHeight="1" spans="1:15">
      <c r="A19" s="16" t="s">
        <v>45</v>
      </c>
      <c r="B19" s="17" t="s">
        <v>46</v>
      </c>
      <c r="C19" s="18"/>
      <c r="D19" s="18">
        <v>6</v>
      </c>
      <c r="E19" s="18"/>
      <c r="F19" s="18"/>
      <c r="G19" s="11">
        <f t="shared" si="1"/>
        <v>6</v>
      </c>
      <c r="H19" s="18"/>
      <c r="I19" s="18">
        <v>6</v>
      </c>
      <c r="J19" s="18"/>
      <c r="K19" s="18"/>
      <c r="L19" s="11">
        <f t="shared" si="2"/>
        <v>6</v>
      </c>
      <c r="M19" s="11">
        <f t="shared" si="3"/>
        <v>0</v>
      </c>
      <c r="N19" s="31">
        <f t="shared" si="4"/>
        <v>0</v>
      </c>
      <c r="O19" s="17" t="s">
        <v>47</v>
      </c>
    </row>
    <row r="20" customHeight="1" spans="1:15">
      <c r="A20" s="16" t="s">
        <v>48</v>
      </c>
      <c r="B20" s="17" t="s">
        <v>49</v>
      </c>
      <c r="C20" s="18"/>
      <c r="D20" s="18">
        <v>5</v>
      </c>
      <c r="E20" s="18"/>
      <c r="F20" s="18"/>
      <c r="G20" s="11">
        <f t="shared" si="1"/>
        <v>5</v>
      </c>
      <c r="H20" s="18"/>
      <c r="I20" s="18">
        <v>5</v>
      </c>
      <c r="J20" s="18"/>
      <c r="K20" s="18"/>
      <c r="L20" s="11">
        <f t="shared" si="2"/>
        <v>5</v>
      </c>
      <c r="M20" s="11">
        <f t="shared" si="3"/>
        <v>0</v>
      </c>
      <c r="N20" s="31">
        <f t="shared" si="4"/>
        <v>0</v>
      </c>
      <c r="O20" s="17" t="s">
        <v>50</v>
      </c>
    </row>
    <row r="21" s="1" customFormat="1" customHeight="1" spans="1:15">
      <c r="A21" s="19" t="s">
        <v>51</v>
      </c>
      <c r="B21" s="9" t="s">
        <v>52</v>
      </c>
      <c r="C21" s="20">
        <v>85.073343</v>
      </c>
      <c r="D21" s="20">
        <v>49.804984</v>
      </c>
      <c r="E21" s="20"/>
      <c r="F21" s="20"/>
      <c r="G21" s="10">
        <f t="shared" si="1"/>
        <v>134.878327</v>
      </c>
      <c r="H21" s="20">
        <f>SUM(H22:H25)</f>
        <v>74.356511</v>
      </c>
      <c r="I21" s="20">
        <f>SUM(I22:I25)</f>
        <v>49.8</v>
      </c>
      <c r="J21" s="20">
        <f>SUM(J22:J25)</f>
        <v>0</v>
      </c>
      <c r="K21" s="20">
        <f>SUM(K22:K25)</f>
        <v>0</v>
      </c>
      <c r="L21" s="10">
        <f t="shared" si="2"/>
        <v>124.156511</v>
      </c>
      <c r="M21" s="10">
        <f t="shared" si="3"/>
        <v>-10.721816</v>
      </c>
      <c r="N21" s="30">
        <f t="shared" si="4"/>
        <v>-0.0794925043813749</v>
      </c>
      <c r="O21" s="9"/>
    </row>
    <row r="22" customHeight="1" spans="1:15">
      <c r="A22" s="16" t="s">
        <v>17</v>
      </c>
      <c r="B22" s="17" t="s">
        <v>53</v>
      </c>
      <c r="C22" s="18">
        <v>20.222093</v>
      </c>
      <c r="D22" s="18"/>
      <c r="E22" s="18"/>
      <c r="F22" s="18"/>
      <c r="G22" s="11">
        <f t="shared" si="1"/>
        <v>20.222093</v>
      </c>
      <c r="H22" s="18">
        <f>(129959.04+53532.88)/10000</f>
        <v>18.349192</v>
      </c>
      <c r="I22" s="18"/>
      <c r="J22" s="18"/>
      <c r="K22" s="18"/>
      <c r="L22" s="11">
        <f t="shared" si="2"/>
        <v>18.349192</v>
      </c>
      <c r="M22" s="11">
        <f t="shared" si="3"/>
        <v>-1.872901</v>
      </c>
      <c r="N22" s="31">
        <f t="shared" si="4"/>
        <v>-0.0926165753465777</v>
      </c>
      <c r="O22" s="17"/>
    </row>
    <row r="23" customHeight="1" spans="1:15">
      <c r="A23" s="16" t="s">
        <v>20</v>
      </c>
      <c r="B23" s="17" t="s">
        <v>54</v>
      </c>
      <c r="C23" s="18"/>
      <c r="D23" s="18">
        <v>49.804984</v>
      </c>
      <c r="E23" s="18"/>
      <c r="F23" s="18"/>
      <c r="G23" s="11">
        <f t="shared" si="1"/>
        <v>49.804984</v>
      </c>
      <c r="H23" s="18"/>
      <c r="I23" s="18">
        <v>49.8</v>
      </c>
      <c r="J23" s="18"/>
      <c r="K23" s="18"/>
      <c r="L23" s="11">
        <f t="shared" si="2"/>
        <v>49.8</v>
      </c>
      <c r="M23" s="11">
        <f t="shared" si="3"/>
        <v>-0.00498400000000032</v>
      </c>
      <c r="N23" s="31">
        <f t="shared" si="4"/>
        <v>-0.00010007030621675</v>
      </c>
      <c r="O23" s="17" t="s">
        <v>55</v>
      </c>
    </row>
    <row r="24" customHeight="1" spans="1:15">
      <c r="A24" s="16" t="s">
        <v>22</v>
      </c>
      <c r="B24" s="17" t="s">
        <v>56</v>
      </c>
      <c r="C24" s="18">
        <v>14.85125</v>
      </c>
      <c r="D24" s="18"/>
      <c r="E24" s="18"/>
      <c r="F24" s="18"/>
      <c r="G24" s="11">
        <f t="shared" si="1"/>
        <v>14.85125</v>
      </c>
      <c r="H24" s="18">
        <f>141606.36/10000</f>
        <v>14.160636</v>
      </c>
      <c r="I24" s="18"/>
      <c r="J24" s="18"/>
      <c r="K24" s="18"/>
      <c r="L24" s="11">
        <f t="shared" si="2"/>
        <v>14.160636</v>
      </c>
      <c r="M24" s="11">
        <f t="shared" si="3"/>
        <v>-0.690614</v>
      </c>
      <c r="N24" s="31">
        <f t="shared" si="4"/>
        <v>-0.0465020789495834</v>
      </c>
      <c r="O24" s="17"/>
    </row>
    <row r="25" customHeight="1" spans="1:15">
      <c r="A25" s="16" t="s">
        <v>32</v>
      </c>
      <c r="B25" s="17" t="s">
        <v>57</v>
      </c>
      <c r="C25" s="18">
        <v>50</v>
      </c>
      <c r="D25" s="18"/>
      <c r="E25" s="18"/>
      <c r="F25" s="18"/>
      <c r="G25" s="11">
        <f t="shared" si="1"/>
        <v>50</v>
      </c>
      <c r="H25" s="18">
        <f>418466.83/10000</f>
        <v>41.846683</v>
      </c>
      <c r="I25" s="18"/>
      <c r="J25" s="18"/>
      <c r="K25" s="18"/>
      <c r="L25" s="11">
        <f t="shared" si="2"/>
        <v>41.846683</v>
      </c>
      <c r="M25" s="11">
        <f t="shared" si="3"/>
        <v>-8.153317</v>
      </c>
      <c r="N25" s="31">
        <f t="shared" si="4"/>
        <v>-0.16306634</v>
      </c>
      <c r="O25" s="17"/>
    </row>
    <row r="26" s="1" customFormat="1" customHeight="1" spans="1:15">
      <c r="A26" s="19" t="s">
        <v>58</v>
      </c>
      <c r="B26" s="9" t="s">
        <v>59</v>
      </c>
      <c r="C26" s="20"/>
      <c r="D26" s="20"/>
      <c r="E26" s="20">
        <v>51.011</v>
      </c>
      <c r="F26" s="20"/>
      <c r="G26" s="10">
        <f t="shared" si="1"/>
        <v>51.011</v>
      </c>
      <c r="H26" s="20"/>
      <c r="I26" s="20"/>
      <c r="J26" s="20">
        <v>51.011</v>
      </c>
      <c r="K26" s="20"/>
      <c r="L26" s="10">
        <f t="shared" si="2"/>
        <v>51.011</v>
      </c>
      <c r="M26" s="10">
        <f t="shared" si="3"/>
        <v>0</v>
      </c>
      <c r="N26" s="30">
        <f t="shared" si="4"/>
        <v>0</v>
      </c>
      <c r="O26" s="9" t="s">
        <v>60</v>
      </c>
    </row>
    <row r="27" s="1" customFormat="1" customHeight="1" spans="1:15">
      <c r="A27" s="19" t="s">
        <v>61</v>
      </c>
      <c r="B27" s="9" t="s">
        <v>62</v>
      </c>
      <c r="C27" s="20"/>
      <c r="D27" s="20"/>
      <c r="E27" s="20"/>
      <c r="F27" s="20">
        <f>+F28+F29+F34+F35+F36+F41+F42+F43+F44+F45+F46+F47+F48+F49+F50</f>
        <v>107.83186465195</v>
      </c>
      <c r="G27" s="10">
        <f t="shared" si="1"/>
        <v>107.83186465195</v>
      </c>
      <c r="H27" s="20"/>
      <c r="I27" s="20"/>
      <c r="J27" s="20"/>
      <c r="K27" s="20">
        <f>+K28+K29+K34+K35+K36+K41+K42+K43+K44+K45+K46+K47+K48+K49+K50</f>
        <v>100.0928467564</v>
      </c>
      <c r="L27" s="10">
        <f t="shared" si="2"/>
        <v>100.0928467564</v>
      </c>
      <c r="M27" s="10">
        <f t="shared" si="3"/>
        <v>-7.73901789555001</v>
      </c>
      <c r="N27" s="30">
        <f t="shared" si="4"/>
        <v>-0.0717693041897153</v>
      </c>
      <c r="O27" s="9"/>
    </row>
    <row r="28" customHeight="1" spans="1:15">
      <c r="A28" s="21">
        <v>1</v>
      </c>
      <c r="B28" s="22" t="s">
        <v>63</v>
      </c>
      <c r="C28" s="23"/>
      <c r="D28" s="23"/>
      <c r="E28" s="24"/>
      <c r="F28" s="23">
        <v>1.5</v>
      </c>
      <c r="G28" s="11">
        <f t="shared" si="1"/>
        <v>1.5</v>
      </c>
      <c r="H28" s="18"/>
      <c r="I28" s="18"/>
      <c r="J28" s="18"/>
      <c r="K28" s="18">
        <v>1.5</v>
      </c>
      <c r="L28" s="11">
        <f t="shared" ref="L28:L50" si="5">+H28+I28+J28+K28</f>
        <v>1.5</v>
      </c>
      <c r="M28" s="11">
        <f t="shared" si="3"/>
        <v>0</v>
      </c>
      <c r="N28" s="31">
        <f t="shared" si="4"/>
        <v>0</v>
      </c>
      <c r="O28" s="17" t="s">
        <v>64</v>
      </c>
    </row>
    <row r="29" customHeight="1" spans="1:15">
      <c r="A29" s="21">
        <v>2</v>
      </c>
      <c r="B29" s="22" t="s">
        <v>65</v>
      </c>
      <c r="C29" s="23"/>
      <c r="D29" s="23"/>
      <c r="E29" s="23"/>
      <c r="F29" s="23">
        <v>34.915079215</v>
      </c>
      <c r="G29" s="11">
        <f t="shared" si="1"/>
        <v>34.915079215</v>
      </c>
      <c r="H29" s="18"/>
      <c r="I29" s="18"/>
      <c r="J29" s="18"/>
      <c r="K29" s="18">
        <f>+K30+K31+K32+K33</f>
        <v>24.6239860904</v>
      </c>
      <c r="L29" s="11">
        <f t="shared" si="5"/>
        <v>24.6239860904</v>
      </c>
      <c r="M29" s="11">
        <f t="shared" si="3"/>
        <v>-10.2910931246</v>
      </c>
      <c r="N29" s="31">
        <f t="shared" si="4"/>
        <v>-0.294746377667641</v>
      </c>
      <c r="O29" s="17"/>
    </row>
    <row r="30" customHeight="1" spans="1:15">
      <c r="A30" s="21">
        <v>2.1</v>
      </c>
      <c r="B30" s="22" t="s">
        <v>66</v>
      </c>
      <c r="C30" s="23"/>
      <c r="D30" s="23"/>
      <c r="E30" s="23"/>
      <c r="F30" s="23">
        <v>2.2</v>
      </c>
      <c r="G30" s="11">
        <f t="shared" si="1"/>
        <v>2.2</v>
      </c>
      <c r="H30" s="18"/>
      <c r="I30" s="18"/>
      <c r="J30" s="18"/>
      <c r="K30" s="23">
        <v>2.2</v>
      </c>
      <c r="L30" s="11">
        <f t="shared" si="5"/>
        <v>2.2</v>
      </c>
      <c r="M30" s="11">
        <f t="shared" si="3"/>
        <v>0</v>
      </c>
      <c r="N30" s="31">
        <f t="shared" si="4"/>
        <v>0</v>
      </c>
      <c r="O30" s="17" t="s">
        <v>64</v>
      </c>
    </row>
    <row r="31" customHeight="1" spans="1:15">
      <c r="A31" s="21">
        <v>2.2</v>
      </c>
      <c r="B31" s="22" t="s">
        <v>67</v>
      </c>
      <c r="C31" s="23"/>
      <c r="D31" s="23"/>
      <c r="E31" s="23"/>
      <c r="F31" s="23">
        <v>0.5</v>
      </c>
      <c r="G31" s="11">
        <f t="shared" si="1"/>
        <v>0.5</v>
      </c>
      <c r="H31" s="18"/>
      <c r="I31" s="18"/>
      <c r="J31" s="18"/>
      <c r="K31" s="23">
        <v>0.5</v>
      </c>
      <c r="L31" s="11">
        <f t="shared" si="5"/>
        <v>0.5</v>
      </c>
      <c r="M31" s="11">
        <f t="shared" si="3"/>
        <v>0</v>
      </c>
      <c r="N31" s="31">
        <f t="shared" si="4"/>
        <v>0</v>
      </c>
      <c r="O31" s="17" t="s">
        <v>64</v>
      </c>
    </row>
    <row r="32" customHeight="1" spans="1:15">
      <c r="A32" s="21">
        <v>2.3</v>
      </c>
      <c r="B32" s="22" t="s">
        <v>68</v>
      </c>
      <c r="C32" s="23"/>
      <c r="D32" s="23"/>
      <c r="E32" s="23"/>
      <c r="F32" s="23">
        <v>0.25</v>
      </c>
      <c r="G32" s="11">
        <f t="shared" si="1"/>
        <v>0.25</v>
      </c>
      <c r="H32" s="18"/>
      <c r="I32" s="18"/>
      <c r="J32" s="18"/>
      <c r="K32" s="23">
        <v>0.25</v>
      </c>
      <c r="L32" s="11">
        <f t="shared" si="5"/>
        <v>0.25</v>
      </c>
      <c r="M32" s="11">
        <f t="shared" si="3"/>
        <v>0</v>
      </c>
      <c r="N32" s="31">
        <f t="shared" si="4"/>
        <v>0</v>
      </c>
      <c r="O32" s="17" t="s">
        <v>64</v>
      </c>
    </row>
    <row r="33" customHeight="1" spans="1:15">
      <c r="A33" s="21">
        <v>2.4</v>
      </c>
      <c r="B33" s="22" t="s">
        <v>69</v>
      </c>
      <c r="C33" s="23"/>
      <c r="D33" s="23"/>
      <c r="E33" s="23"/>
      <c r="F33" s="23">
        <v>31.965079215</v>
      </c>
      <c r="G33" s="11">
        <f t="shared" si="1"/>
        <v>31.965079215</v>
      </c>
      <c r="H33" s="18"/>
      <c r="I33" s="18"/>
      <c r="J33" s="18"/>
      <c r="K33" s="18">
        <f>(20.9+(L4-500)/(1000-500)*(38.8-20.9))*0.7</f>
        <v>21.6739860904</v>
      </c>
      <c r="L33" s="11">
        <f t="shared" si="5"/>
        <v>21.6739860904</v>
      </c>
      <c r="M33" s="11">
        <f t="shared" si="3"/>
        <v>-10.2910931246</v>
      </c>
      <c r="N33" s="31">
        <f t="shared" si="4"/>
        <v>-0.32194799378976</v>
      </c>
      <c r="O33" s="17" t="s">
        <v>70</v>
      </c>
    </row>
    <row r="34" customHeight="1" spans="1:15">
      <c r="A34" s="21">
        <v>3</v>
      </c>
      <c r="B34" s="22" t="s">
        <v>71</v>
      </c>
      <c r="C34" s="23"/>
      <c r="D34" s="23"/>
      <c r="E34" s="23"/>
      <c r="F34" s="23">
        <v>1.37564</v>
      </c>
      <c r="G34" s="11">
        <f t="shared" si="1"/>
        <v>1.37564</v>
      </c>
      <c r="H34" s="18"/>
      <c r="I34" s="18"/>
      <c r="J34" s="18"/>
      <c r="K34" s="18">
        <f>1375.64*10/10000</f>
        <v>1.37564</v>
      </c>
      <c r="L34" s="11">
        <f t="shared" si="5"/>
        <v>1.37564</v>
      </c>
      <c r="M34" s="11">
        <f t="shared" si="3"/>
        <v>0</v>
      </c>
      <c r="N34" s="31">
        <f t="shared" si="4"/>
        <v>0</v>
      </c>
      <c r="O34" s="17" t="s">
        <v>72</v>
      </c>
    </row>
    <row r="35" customHeight="1" spans="1:15">
      <c r="A35" s="21">
        <v>4</v>
      </c>
      <c r="B35" s="22" t="s">
        <v>73</v>
      </c>
      <c r="C35" s="23"/>
      <c r="D35" s="23"/>
      <c r="E35" s="23"/>
      <c r="F35" s="23">
        <v>5.8817814875</v>
      </c>
      <c r="G35" s="11">
        <f t="shared" si="1"/>
        <v>5.8817814875</v>
      </c>
      <c r="H35" s="18"/>
      <c r="I35" s="18"/>
      <c r="J35" s="18"/>
      <c r="K35" s="18">
        <f>100*1%+400*0.7%+(L4-500)*0.55%</f>
        <v>5.34596662</v>
      </c>
      <c r="L35" s="11">
        <f t="shared" si="5"/>
        <v>5.34596662</v>
      </c>
      <c r="M35" s="11">
        <f t="shared" si="3"/>
        <v>-0.5358148675</v>
      </c>
      <c r="N35" s="31">
        <f t="shared" si="4"/>
        <v>-0.091097377323302</v>
      </c>
      <c r="O35" s="17" t="s">
        <v>74</v>
      </c>
    </row>
    <row r="36" customHeight="1" spans="1:15">
      <c r="A36" s="21">
        <v>5</v>
      </c>
      <c r="B36" s="25" t="s">
        <v>75</v>
      </c>
      <c r="C36" s="23"/>
      <c r="D36" s="23"/>
      <c r="E36" s="23"/>
      <c r="F36" s="23">
        <v>16.7677595452</v>
      </c>
      <c r="G36" s="11">
        <f t="shared" si="1"/>
        <v>16.7677595452</v>
      </c>
      <c r="H36" s="18"/>
      <c r="I36" s="18"/>
      <c r="J36" s="18"/>
      <c r="K36" s="18">
        <f>+K37+K38+K39+K40</f>
        <v>9.0807426976</v>
      </c>
      <c r="L36" s="11">
        <f t="shared" si="5"/>
        <v>9.0807426976</v>
      </c>
      <c r="M36" s="11">
        <f t="shared" si="3"/>
        <v>-7.6870168476</v>
      </c>
      <c r="N36" s="31">
        <f t="shared" si="4"/>
        <v>-0.458440307834717</v>
      </c>
      <c r="O36" s="17"/>
    </row>
    <row r="37" customHeight="1" spans="1:15">
      <c r="A37" s="21">
        <v>5.1</v>
      </c>
      <c r="B37" s="25" t="s">
        <v>76</v>
      </c>
      <c r="C37" s="23"/>
      <c r="D37" s="23"/>
      <c r="E37" s="26"/>
      <c r="F37" s="23">
        <v>1.5699227388</v>
      </c>
      <c r="G37" s="11">
        <f t="shared" si="1"/>
        <v>1.5699227388</v>
      </c>
      <c r="H37" s="18"/>
      <c r="I37" s="18"/>
      <c r="J37" s="18"/>
      <c r="K37" s="18">
        <v>0</v>
      </c>
      <c r="L37" s="11">
        <f t="shared" si="5"/>
        <v>0</v>
      </c>
      <c r="M37" s="11">
        <f t="shared" si="3"/>
        <v>-1.5699227388</v>
      </c>
      <c r="N37" s="31">
        <f t="shared" si="4"/>
        <v>-1</v>
      </c>
      <c r="O37" s="17" t="s">
        <v>77</v>
      </c>
    </row>
    <row r="38" customHeight="1" spans="1:15">
      <c r="A38" s="21">
        <v>5.2</v>
      </c>
      <c r="B38" s="25" t="s">
        <v>78</v>
      </c>
      <c r="C38" s="23"/>
      <c r="D38" s="23"/>
      <c r="E38" s="26"/>
      <c r="F38" s="23">
        <v>3.5625967032</v>
      </c>
      <c r="G38" s="11">
        <f t="shared" si="1"/>
        <v>3.5625967032</v>
      </c>
      <c r="H38" s="18"/>
      <c r="I38" s="18"/>
      <c r="J38" s="18"/>
      <c r="K38" s="18">
        <f>(500*0.35%+(L4-500)*0.32%)*0.7</f>
        <v>1.8546300416</v>
      </c>
      <c r="L38" s="11">
        <f t="shared" si="5"/>
        <v>1.8546300416</v>
      </c>
      <c r="M38" s="11">
        <f t="shared" si="3"/>
        <v>-1.7079666616</v>
      </c>
      <c r="N38" s="31">
        <f t="shared" si="4"/>
        <v>-0.479416224706509</v>
      </c>
      <c r="O38" s="32" t="s">
        <v>79</v>
      </c>
    </row>
    <row r="39" customHeight="1" spans="1:15">
      <c r="A39" s="21">
        <v>5.3</v>
      </c>
      <c r="B39" s="25" t="s">
        <v>80</v>
      </c>
      <c r="C39" s="23"/>
      <c r="D39" s="23"/>
      <c r="E39" s="26"/>
      <c r="F39" s="23">
        <v>3.5625967032</v>
      </c>
      <c r="G39" s="11">
        <f t="shared" si="1"/>
        <v>3.5625967032</v>
      </c>
      <c r="H39" s="18"/>
      <c r="I39" s="18"/>
      <c r="J39" s="18"/>
      <c r="K39" s="18">
        <f>K38</f>
        <v>1.8546300416</v>
      </c>
      <c r="L39" s="11">
        <f t="shared" si="5"/>
        <v>1.8546300416</v>
      </c>
      <c r="M39" s="11">
        <f t="shared" si="3"/>
        <v>-1.7079666616</v>
      </c>
      <c r="N39" s="31">
        <f t="shared" si="4"/>
        <v>-0.479416224706509</v>
      </c>
      <c r="O39" s="33"/>
    </row>
    <row r="40" customHeight="1" spans="1:15">
      <c r="A40" s="21">
        <v>5.4</v>
      </c>
      <c r="B40" s="25" t="s">
        <v>81</v>
      </c>
      <c r="C40" s="23"/>
      <c r="D40" s="23"/>
      <c r="E40" s="26"/>
      <c r="F40" s="23">
        <v>8.0726434</v>
      </c>
      <c r="G40" s="11">
        <f t="shared" si="1"/>
        <v>8.0726434</v>
      </c>
      <c r="H40" s="18"/>
      <c r="I40" s="18"/>
      <c r="J40" s="18"/>
      <c r="K40" s="18">
        <f>(500*1.04%+(L4-500)*0.88%)*0.7</f>
        <v>5.3714826144</v>
      </c>
      <c r="L40" s="11">
        <f t="shared" si="5"/>
        <v>5.3714826144</v>
      </c>
      <c r="M40" s="11">
        <f t="shared" si="3"/>
        <v>-2.7011607856</v>
      </c>
      <c r="N40" s="31">
        <f t="shared" si="4"/>
        <v>-0.334606726911782</v>
      </c>
      <c r="O40" s="34"/>
    </row>
    <row r="41" customHeight="1" spans="1:15">
      <c r="A41" s="21">
        <v>6</v>
      </c>
      <c r="B41" s="25" t="s">
        <v>82</v>
      </c>
      <c r="C41" s="23"/>
      <c r="D41" s="23"/>
      <c r="E41" s="24"/>
      <c r="F41" s="23">
        <v>6.0681031875</v>
      </c>
      <c r="G41" s="11">
        <f t="shared" si="1"/>
        <v>6.0681031875</v>
      </c>
      <c r="H41" s="18"/>
      <c r="I41" s="18"/>
      <c r="J41" s="18"/>
      <c r="K41" s="18">
        <f>L4*0.5%</f>
        <v>3.9054242</v>
      </c>
      <c r="L41" s="11">
        <f t="shared" si="5"/>
        <v>3.9054242</v>
      </c>
      <c r="M41" s="11">
        <f t="shared" si="3"/>
        <v>-2.1626789875</v>
      </c>
      <c r="N41" s="31">
        <f t="shared" si="4"/>
        <v>-0.356401155464036</v>
      </c>
      <c r="O41" s="17" t="s">
        <v>83</v>
      </c>
    </row>
    <row r="42" customHeight="1" spans="1:15">
      <c r="A42" s="21">
        <v>7</v>
      </c>
      <c r="B42" s="22" t="s">
        <v>84</v>
      </c>
      <c r="C42" s="23"/>
      <c r="D42" s="23"/>
      <c r="E42" s="23"/>
      <c r="F42" s="23">
        <v>17.754367225</v>
      </c>
      <c r="G42" s="11">
        <f t="shared" si="1"/>
        <v>17.754367225</v>
      </c>
      <c r="H42" s="18"/>
      <c r="I42" s="18"/>
      <c r="J42" s="18"/>
      <c r="K42" s="18">
        <v>17.75</v>
      </c>
      <c r="L42" s="11">
        <f t="shared" si="5"/>
        <v>17.75</v>
      </c>
      <c r="M42" s="11">
        <f t="shared" si="3"/>
        <v>-0.00436722499999931</v>
      </c>
      <c r="N42" s="31">
        <f t="shared" si="4"/>
        <v>-0.000245980323863629</v>
      </c>
      <c r="O42" s="17" t="s">
        <v>64</v>
      </c>
    </row>
    <row r="43" customHeight="1" spans="1:15">
      <c r="A43" s="21">
        <v>8</v>
      </c>
      <c r="B43" s="22" t="s">
        <v>85</v>
      </c>
      <c r="C43" s="23"/>
      <c r="D43" s="23"/>
      <c r="E43" s="23"/>
      <c r="F43" s="23">
        <v>0.5</v>
      </c>
      <c r="G43" s="11">
        <f t="shared" si="1"/>
        <v>0.5</v>
      </c>
      <c r="H43" s="18"/>
      <c r="I43" s="18"/>
      <c r="J43" s="18"/>
      <c r="K43" s="18">
        <v>0.5</v>
      </c>
      <c r="L43" s="11">
        <f t="shared" si="5"/>
        <v>0.5</v>
      </c>
      <c r="M43" s="11">
        <f t="shared" si="3"/>
        <v>0</v>
      </c>
      <c r="N43" s="31">
        <f t="shared" si="4"/>
        <v>0</v>
      </c>
      <c r="O43" s="17" t="s">
        <v>64</v>
      </c>
    </row>
    <row r="44" customHeight="1" spans="1:15">
      <c r="A44" s="21">
        <v>9</v>
      </c>
      <c r="B44" s="27" t="s">
        <v>86</v>
      </c>
      <c r="C44" s="23"/>
      <c r="D44" s="23"/>
      <c r="E44" s="23"/>
      <c r="F44" s="23">
        <v>8.25384</v>
      </c>
      <c r="G44" s="11">
        <f t="shared" si="1"/>
        <v>8.25384</v>
      </c>
      <c r="H44" s="18"/>
      <c r="I44" s="18"/>
      <c r="J44" s="18"/>
      <c r="K44" s="18">
        <f>1375.64*120/10000*0.5</f>
        <v>8.25384</v>
      </c>
      <c r="L44" s="11">
        <f t="shared" si="5"/>
        <v>8.25384</v>
      </c>
      <c r="M44" s="11">
        <f t="shared" si="3"/>
        <v>0</v>
      </c>
      <c r="N44" s="31">
        <f t="shared" si="4"/>
        <v>0</v>
      </c>
      <c r="O44" s="17" t="s">
        <v>87</v>
      </c>
    </row>
    <row r="45" customHeight="1" spans="1:15">
      <c r="A45" s="21">
        <v>10</v>
      </c>
      <c r="B45" s="27" t="s">
        <v>88</v>
      </c>
      <c r="C45" s="23"/>
      <c r="D45" s="23"/>
      <c r="E45" s="23"/>
      <c r="F45" s="23">
        <v>3.4391</v>
      </c>
      <c r="G45" s="11">
        <f t="shared" si="1"/>
        <v>3.4391</v>
      </c>
      <c r="H45" s="18"/>
      <c r="I45" s="18"/>
      <c r="J45" s="18"/>
      <c r="K45" s="18">
        <f>1375.64*25/10000</f>
        <v>3.4391</v>
      </c>
      <c r="L45" s="11">
        <f t="shared" si="5"/>
        <v>3.4391</v>
      </c>
      <c r="M45" s="11">
        <f t="shared" si="3"/>
        <v>0</v>
      </c>
      <c r="N45" s="31">
        <f t="shared" si="4"/>
        <v>0</v>
      </c>
      <c r="O45" s="17" t="s">
        <v>89</v>
      </c>
    </row>
    <row r="46" customHeight="1" spans="1:15">
      <c r="A46" s="21">
        <v>11</v>
      </c>
      <c r="B46" s="28" t="s">
        <v>90</v>
      </c>
      <c r="C46" s="23"/>
      <c r="D46" s="23"/>
      <c r="E46" s="23"/>
      <c r="F46" s="23">
        <v>0.3</v>
      </c>
      <c r="G46" s="11">
        <f t="shared" si="1"/>
        <v>0.3</v>
      </c>
      <c r="H46" s="18"/>
      <c r="I46" s="18"/>
      <c r="J46" s="18"/>
      <c r="K46" s="18">
        <v>0.3</v>
      </c>
      <c r="L46" s="11">
        <f t="shared" si="5"/>
        <v>0.3</v>
      </c>
      <c r="M46" s="11">
        <f t="shared" si="3"/>
        <v>0</v>
      </c>
      <c r="N46" s="31">
        <f t="shared" si="4"/>
        <v>0</v>
      </c>
      <c r="O46" s="17" t="s">
        <v>91</v>
      </c>
    </row>
    <row r="47" customHeight="1" spans="1:15">
      <c r="A47" s="21">
        <v>12</v>
      </c>
      <c r="B47" s="17" t="s">
        <v>92</v>
      </c>
      <c r="C47" s="18"/>
      <c r="D47" s="18"/>
      <c r="E47" s="18"/>
      <c r="F47" s="18">
        <v>5</v>
      </c>
      <c r="G47" s="11">
        <f t="shared" si="1"/>
        <v>5</v>
      </c>
      <c r="H47" s="18"/>
      <c r="I47" s="18"/>
      <c r="J47" s="18"/>
      <c r="K47" s="18">
        <f>L54*2%</f>
        <v>18.1522</v>
      </c>
      <c r="L47" s="11">
        <f t="shared" si="5"/>
        <v>18.1522</v>
      </c>
      <c r="M47" s="11">
        <f t="shared" si="3"/>
        <v>13.1522</v>
      </c>
      <c r="N47" s="31">
        <f t="shared" si="4"/>
        <v>2.63044</v>
      </c>
      <c r="O47" s="17" t="s">
        <v>93</v>
      </c>
    </row>
    <row r="48" customHeight="1" spans="1:15">
      <c r="A48" s="21">
        <v>13</v>
      </c>
      <c r="B48" s="17" t="s">
        <v>94</v>
      </c>
      <c r="C48" s="18"/>
      <c r="D48" s="18"/>
      <c r="E48" s="18"/>
      <c r="F48" s="18">
        <v>0.41263101675</v>
      </c>
      <c r="G48" s="11">
        <f t="shared" si="1"/>
        <v>0.41263101675</v>
      </c>
      <c r="H48" s="18"/>
      <c r="I48" s="18"/>
      <c r="J48" s="18"/>
      <c r="K48" s="18">
        <f>L4*0.17%*0.3</f>
        <v>0.3983532684</v>
      </c>
      <c r="L48" s="11">
        <f t="shared" si="5"/>
        <v>0.3983532684</v>
      </c>
      <c r="M48" s="11">
        <f t="shared" si="3"/>
        <v>-0.0142777483500001</v>
      </c>
      <c r="N48" s="31">
        <f t="shared" si="4"/>
        <v>-0.0346017331960543</v>
      </c>
      <c r="O48" s="17" t="s">
        <v>95</v>
      </c>
    </row>
    <row r="49" customHeight="1" spans="1:15">
      <c r="A49" s="21">
        <v>14</v>
      </c>
      <c r="B49" s="17" t="s">
        <v>96</v>
      </c>
      <c r="C49" s="18"/>
      <c r="D49" s="18"/>
      <c r="E49" s="18"/>
      <c r="F49" s="18">
        <v>2.427241275</v>
      </c>
      <c r="G49" s="11">
        <f t="shared" si="1"/>
        <v>2.427241275</v>
      </c>
      <c r="H49" s="18"/>
      <c r="I49" s="18"/>
      <c r="J49" s="18"/>
      <c r="K49" s="18">
        <f>L4*0.4%</f>
        <v>3.12433936</v>
      </c>
      <c r="L49" s="11">
        <f t="shared" si="5"/>
        <v>3.12433936</v>
      </c>
      <c r="M49" s="11">
        <f t="shared" si="3"/>
        <v>0.697098084999999</v>
      </c>
      <c r="N49" s="31">
        <f t="shared" si="4"/>
        <v>0.287197689071928</v>
      </c>
      <c r="O49" s="17" t="s">
        <v>97</v>
      </c>
    </row>
    <row r="50" customHeight="1" spans="1:15">
      <c r="A50" s="21">
        <v>15</v>
      </c>
      <c r="B50" s="17" t="s">
        <v>98</v>
      </c>
      <c r="C50" s="18"/>
      <c r="D50" s="18"/>
      <c r="E50" s="18"/>
      <c r="F50" s="18">
        <v>3.2363217</v>
      </c>
      <c r="G50" s="11">
        <f t="shared" si="1"/>
        <v>3.2363217</v>
      </c>
      <c r="H50" s="18"/>
      <c r="I50" s="18"/>
      <c r="J50" s="18"/>
      <c r="K50" s="18">
        <f>L4*0.3%</f>
        <v>2.34325452</v>
      </c>
      <c r="L50" s="11">
        <f t="shared" si="5"/>
        <v>2.34325452</v>
      </c>
      <c r="M50" s="11">
        <f t="shared" si="3"/>
        <v>-0.893067180000001</v>
      </c>
      <c r="N50" s="31">
        <f t="shared" si="4"/>
        <v>-0.275951299897041</v>
      </c>
      <c r="O50" s="17" t="s">
        <v>99</v>
      </c>
    </row>
    <row r="51" s="1" customFormat="1" customHeight="1" spans="1:15">
      <c r="A51" s="19" t="s">
        <v>100</v>
      </c>
      <c r="B51" s="9" t="s">
        <v>101</v>
      </c>
      <c r="C51" s="20"/>
      <c r="D51" s="20"/>
      <c r="E51" s="20"/>
      <c r="F51" s="20">
        <f>+F52</f>
        <v>27.5073686895585</v>
      </c>
      <c r="G51" s="20">
        <f>+F51</f>
        <v>27.5073686895585</v>
      </c>
      <c r="H51" s="20"/>
      <c r="I51" s="20"/>
      <c r="J51" s="20"/>
      <c r="K51" s="20">
        <f>+K52</f>
        <v>26.435330602692</v>
      </c>
      <c r="L51" s="20">
        <f>+K51</f>
        <v>26.435330602692</v>
      </c>
      <c r="M51" s="10">
        <f t="shared" si="3"/>
        <v>-1.07203808686651</v>
      </c>
      <c r="N51" s="30">
        <f t="shared" si="4"/>
        <v>-0.0389727603161636</v>
      </c>
      <c r="O51" s="9"/>
    </row>
    <row r="52" s="2" customFormat="1" customHeight="1" spans="1:15">
      <c r="A52" s="16">
        <v>1</v>
      </c>
      <c r="B52" s="17" t="s">
        <v>102</v>
      </c>
      <c r="C52" s="18"/>
      <c r="D52" s="18"/>
      <c r="E52" s="18"/>
      <c r="F52" s="18">
        <f>(G4+G27)*3%</f>
        <v>27.5073686895585</v>
      </c>
      <c r="G52" s="18">
        <f>+F52</f>
        <v>27.5073686895585</v>
      </c>
      <c r="H52" s="18"/>
      <c r="I52" s="18"/>
      <c r="J52" s="18"/>
      <c r="K52" s="18">
        <f>(L4+L27)*3%</f>
        <v>26.435330602692</v>
      </c>
      <c r="L52" s="18">
        <f>+K52</f>
        <v>26.435330602692</v>
      </c>
      <c r="M52" s="11">
        <f t="shared" si="3"/>
        <v>-1.07203808686651</v>
      </c>
      <c r="N52" s="31">
        <f t="shared" si="4"/>
        <v>-0.0389727603161636</v>
      </c>
      <c r="O52" s="17" t="s">
        <v>103</v>
      </c>
    </row>
    <row r="53" s="1" customFormat="1" customHeight="1" spans="1:15">
      <c r="A53" s="19" t="s">
        <v>104</v>
      </c>
      <c r="B53" s="9" t="s">
        <v>105</v>
      </c>
      <c r="C53" s="20"/>
      <c r="D53" s="20"/>
      <c r="E53" s="20"/>
      <c r="F53" s="20"/>
      <c r="G53" s="20">
        <f>+G51+G27+G4</f>
        <v>944.419658341509</v>
      </c>
      <c r="H53" s="20"/>
      <c r="I53" s="20"/>
      <c r="J53" s="20"/>
      <c r="K53" s="20"/>
      <c r="L53" s="20">
        <f>+L51+L27+L4</f>
        <v>907.613017359092</v>
      </c>
      <c r="M53" s="10">
        <f t="shared" si="3"/>
        <v>-36.8066409824172</v>
      </c>
      <c r="N53" s="30">
        <f t="shared" si="4"/>
        <v>-0.0389727603161641</v>
      </c>
      <c r="O53" s="9" t="s">
        <v>106</v>
      </c>
    </row>
    <row r="54" hidden="1" customHeight="1" spans="12:12">
      <c r="L54" s="4">
        <v>907.61</v>
      </c>
    </row>
  </sheetData>
  <mergeCells count="9">
    <mergeCell ref="A1:O1"/>
    <mergeCell ref="C2:G2"/>
    <mergeCell ref="H2:L2"/>
    <mergeCell ref="A2:A3"/>
    <mergeCell ref="B2:B3"/>
    <mergeCell ref="M2:M3"/>
    <mergeCell ref="N2:N3"/>
    <mergeCell ref="O2:O3"/>
    <mergeCell ref="O38:O40"/>
  </mergeCells>
  <dataValidations count="1">
    <dataValidation allowBlank="1" showInputMessage="1" showErrorMessage="1" sqref="C28:F28 E41:E43 F37:F43 K30:K32 C29:D46 E29:F36 E44:F46"/>
  </dataValidations>
  <pageMargins left="0.700694444444445" right="0.700694444444445" top="0.751388888888889" bottom="0.751388888888889" header="0.298611111111111" footer="0.298611111111111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Uaena Panda</cp:lastModifiedBy>
  <dcterms:created xsi:type="dcterms:W3CDTF">2020-05-22T01:01:00Z</dcterms:created>
  <dcterms:modified xsi:type="dcterms:W3CDTF">2025-03-24T01:22:49Z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B5374BF2B7E840929C8AF49519EE10C7</vt:lpwstr>
  </property>
</Properties>
</file>